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a XXXI\"/>
    </mc:Choice>
  </mc:AlternateContent>
  <xr:revisionPtr revIDLastSave="0" documentId="8_{08E74E96-D9AA-4A3F-A53F-8782A045F88C}" xr6:coauthVersionLast="46" xr6:coauthVersionMax="46" xr10:uidLastSave="{00000000-0000-0000-0000-000000000000}"/>
  <bookViews>
    <workbookView xWindow="2295" yWindow="2295" windowWidth="21600" windowHeight="11385" activeTab="10" xr2:uid="{00000000-000D-0000-FFFF-FFFF00000000}"/>
  </bookViews>
  <sheets>
    <sheet name="zał.1" sheetId="50" r:id="rId1"/>
    <sheet name="zał.2" sheetId="51" r:id="rId2"/>
    <sheet name="zał.3" sheetId="45" r:id="rId3"/>
    <sheet name="zał.4" sheetId="44" r:id="rId4"/>
    <sheet name="zał.5" sheetId="54" r:id="rId5"/>
    <sheet name="zał.6 " sheetId="55" r:id="rId6"/>
    <sheet name="zał.7" sheetId="56" r:id="rId7"/>
    <sheet name="zał.8 " sheetId="49" r:id="rId8"/>
    <sheet name="zał.9" sheetId="52" r:id="rId9"/>
    <sheet name="zał.10" sheetId="53" r:id="rId10"/>
    <sheet name="zał.11" sheetId="57" r:id="rId11"/>
  </sheets>
  <definedNames>
    <definedName name="_xlnm.Print_Area" localSheetId="0">zał.1!$A$1:$Q$163</definedName>
    <definedName name="_xlnm.Print_Area" localSheetId="9">zał.10!$A$1:$G$95</definedName>
    <definedName name="_xlnm.Print_Area" localSheetId="10">zał.11!$A$1:$K$121</definedName>
    <definedName name="_xlnm.Print_Area" localSheetId="1">zał.2!$A$1:$G$76</definedName>
    <definedName name="_xlnm.Print_Area" localSheetId="5">'zał.6 '!$A$1:$X$551</definedName>
    <definedName name="_xlnm.Print_Area" localSheetId="6">zał.7!$A$1:$W$126</definedName>
    <definedName name="_xlnm.Print_Titles" localSheetId="0">zał.1!$7:$11</definedName>
    <definedName name="_xlnm.Print_Titles" localSheetId="9">zał.10!$6:$8</definedName>
    <definedName name="_xlnm.Print_Titles" localSheetId="10">zał.11!$9:$9</definedName>
    <definedName name="_xlnm.Print_Titles" localSheetId="1">zał.2!$7:$8</definedName>
    <definedName name="_xlnm.Print_Titles" localSheetId="2">zał.3!$8:$12</definedName>
    <definedName name="_xlnm.Print_Titles" localSheetId="3">zał.4!$7:$9</definedName>
    <definedName name="_xlnm.Print_Titles" localSheetId="5">'zał.6 '!$7:$13</definedName>
    <definedName name="_xlnm.Print_Titles" localSheetId="6">zał.7!$7:$8</definedName>
    <definedName name="_xlnm.Print_Titles" localSheetId="7">'zał.8 '!$8:$12</definedName>
    <definedName name="_xlnm.Print_Titles" localSheetId="8">zał.9!$6:$9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0" i="57" l="1"/>
  <c r="K119" i="57"/>
  <c r="K118" i="57"/>
  <c r="K117" i="57"/>
  <c r="K116" i="57"/>
  <c r="K115" i="57"/>
  <c r="K114" i="57"/>
  <c r="K113" i="57"/>
  <c r="J112" i="57"/>
  <c r="J109" i="57" s="1"/>
  <c r="I112" i="57"/>
  <c r="I109" i="57" s="1"/>
  <c r="H112" i="57"/>
  <c r="K112" i="57" s="1"/>
  <c r="G111" i="57"/>
  <c r="D110" i="57"/>
  <c r="D109" i="57" s="1"/>
  <c r="G109" i="57" s="1"/>
  <c r="K108" i="57"/>
  <c r="J107" i="57"/>
  <c r="I107" i="57"/>
  <c r="I104" i="57" s="1"/>
  <c r="H107" i="57"/>
  <c r="H104" i="57" s="1"/>
  <c r="G106" i="57"/>
  <c r="D105" i="57"/>
  <c r="D104" i="57" s="1"/>
  <c r="G104" i="57" s="1"/>
  <c r="K103" i="57"/>
  <c r="J102" i="57"/>
  <c r="I102" i="57"/>
  <c r="H102" i="57"/>
  <c r="G101" i="57"/>
  <c r="D100" i="57"/>
  <c r="G100" i="57" s="1"/>
  <c r="K98" i="57"/>
  <c r="K97" i="57"/>
  <c r="J96" i="57"/>
  <c r="J93" i="57" s="1"/>
  <c r="I96" i="57"/>
  <c r="H96" i="57"/>
  <c r="G95" i="57"/>
  <c r="G94" i="57"/>
  <c r="H93" i="57"/>
  <c r="D93" i="57"/>
  <c r="G93" i="57" s="1"/>
  <c r="K92" i="57"/>
  <c r="K91" i="57"/>
  <c r="J90" i="57"/>
  <c r="I90" i="57"/>
  <c r="I87" i="57" s="1"/>
  <c r="H90" i="57"/>
  <c r="H87" i="57" s="1"/>
  <c r="G89" i="57"/>
  <c r="G88" i="57"/>
  <c r="J87" i="57"/>
  <c r="D87" i="57"/>
  <c r="G87" i="57" s="1"/>
  <c r="K86" i="57"/>
  <c r="K85" i="57"/>
  <c r="K84" i="57"/>
  <c r="K83" i="57"/>
  <c r="K82" i="57"/>
  <c r="K81" i="57"/>
  <c r="J80" i="57"/>
  <c r="I80" i="57"/>
  <c r="K80" i="57" s="1"/>
  <c r="H80" i="57"/>
  <c r="G79" i="57"/>
  <c r="D78" i="57"/>
  <c r="G78" i="57" s="1"/>
  <c r="K77" i="57"/>
  <c r="K76" i="57"/>
  <c r="K75" i="57"/>
  <c r="K74" i="57"/>
  <c r="J73" i="57"/>
  <c r="J70" i="57" s="1"/>
  <c r="I73" i="57"/>
  <c r="I70" i="57" s="1"/>
  <c r="H73" i="57"/>
  <c r="K73" i="57" s="1"/>
  <c r="G72" i="57"/>
  <c r="D71" i="57"/>
  <c r="D70" i="57" s="1"/>
  <c r="K69" i="57"/>
  <c r="K68" i="57"/>
  <c r="K67" i="57"/>
  <c r="K66" i="57"/>
  <c r="K65" i="57"/>
  <c r="K64" i="57"/>
  <c r="K63" i="57"/>
  <c r="K62" i="57"/>
  <c r="J61" i="57"/>
  <c r="J58" i="57" s="1"/>
  <c r="I61" i="57"/>
  <c r="K61" i="57" s="1"/>
  <c r="H61" i="57"/>
  <c r="G60" i="57"/>
  <c r="D59" i="57"/>
  <c r="G59" i="57" s="1"/>
  <c r="H58" i="57"/>
  <c r="F58" i="57"/>
  <c r="E58" i="57"/>
  <c r="D58" i="57"/>
  <c r="G58" i="57" s="1"/>
  <c r="K57" i="57"/>
  <c r="K56" i="57"/>
  <c r="K55" i="57"/>
  <c r="K54" i="57"/>
  <c r="K53" i="57"/>
  <c r="K52" i="57"/>
  <c r="K51" i="57"/>
  <c r="K50" i="57"/>
  <c r="K49" i="57"/>
  <c r="K48" i="57"/>
  <c r="J47" i="57"/>
  <c r="I47" i="57"/>
  <c r="H47" i="57"/>
  <c r="H44" i="57" s="1"/>
  <c r="G46" i="57"/>
  <c r="E45" i="57"/>
  <c r="G45" i="57" s="1"/>
  <c r="I44" i="57"/>
  <c r="F44" i="57"/>
  <c r="E44" i="57"/>
  <c r="G44" i="57" s="1"/>
  <c r="D44" i="57"/>
  <c r="K43" i="57"/>
  <c r="K42" i="57"/>
  <c r="K41" i="57"/>
  <c r="K40" i="57"/>
  <c r="J39" i="57"/>
  <c r="J25" i="57" s="1"/>
  <c r="I39" i="57"/>
  <c r="H39" i="57"/>
  <c r="K38" i="57"/>
  <c r="K37" i="57"/>
  <c r="K36" i="57"/>
  <c r="H35" i="57"/>
  <c r="K35" i="57" s="1"/>
  <c r="K34" i="57"/>
  <c r="K33" i="57"/>
  <c r="H33" i="57"/>
  <c r="K32" i="57"/>
  <c r="K31" i="57"/>
  <c r="K30" i="57"/>
  <c r="K29" i="57"/>
  <c r="J28" i="57"/>
  <c r="I28" i="57"/>
  <c r="I25" i="57" s="1"/>
  <c r="H28" i="57"/>
  <c r="H25" i="57" s="1"/>
  <c r="G27" i="57"/>
  <c r="F26" i="57"/>
  <c r="E26" i="57"/>
  <c r="D26" i="57"/>
  <c r="D25" i="57" s="1"/>
  <c r="F25" i="57"/>
  <c r="E25" i="57"/>
  <c r="K24" i="57"/>
  <c r="K23" i="57"/>
  <c r="K22" i="57"/>
  <c r="K21" i="57"/>
  <c r="K20" i="57"/>
  <c r="K19" i="57"/>
  <c r="K18" i="57"/>
  <c r="K17" i="57"/>
  <c r="K16" i="57"/>
  <c r="K15" i="57"/>
  <c r="J14" i="57"/>
  <c r="I14" i="57"/>
  <c r="I10" i="57" s="1"/>
  <c r="H14" i="57"/>
  <c r="G13" i="57"/>
  <c r="G12" i="57"/>
  <c r="F11" i="57"/>
  <c r="E11" i="57"/>
  <c r="D11" i="57"/>
  <c r="J10" i="57"/>
  <c r="F10" i="57"/>
  <c r="E10" i="57"/>
  <c r="D10" i="57"/>
  <c r="F9" i="53"/>
  <c r="H118" i="56"/>
  <c r="G118" i="56"/>
  <c r="H117" i="56"/>
  <c r="G117" i="56"/>
  <c r="W116" i="56"/>
  <c r="V116" i="56"/>
  <c r="T116" i="56"/>
  <c r="S116" i="56"/>
  <c r="Q116" i="56"/>
  <c r="P116" i="56"/>
  <c r="M116" i="56"/>
  <c r="L116" i="56"/>
  <c r="H116" i="56"/>
  <c r="G116" i="56"/>
  <c r="H115" i="56"/>
  <c r="G115" i="56"/>
  <c r="W114" i="56"/>
  <c r="W117" i="56" s="1"/>
  <c r="V114" i="56"/>
  <c r="T114" i="56"/>
  <c r="S114" i="56"/>
  <c r="Q114" i="56"/>
  <c r="Q117" i="56" s="1"/>
  <c r="P114" i="56"/>
  <c r="P117" i="56" s="1"/>
  <c r="M114" i="56"/>
  <c r="M117" i="56" s="1"/>
  <c r="L114" i="56"/>
  <c r="L117" i="56" s="1"/>
  <c r="W112" i="56"/>
  <c r="V112" i="56"/>
  <c r="T112" i="56"/>
  <c r="S112" i="56"/>
  <c r="Q112" i="56"/>
  <c r="P112" i="56"/>
  <c r="M112" i="56"/>
  <c r="L112" i="56"/>
  <c r="U111" i="56"/>
  <c r="R111" i="56"/>
  <c r="N111" i="56" s="1"/>
  <c r="O111" i="56"/>
  <c r="K111" i="56"/>
  <c r="U109" i="56"/>
  <c r="U112" i="56" s="1"/>
  <c r="R109" i="56"/>
  <c r="O109" i="56"/>
  <c r="O112" i="56" s="1"/>
  <c r="N109" i="56"/>
  <c r="K109" i="56"/>
  <c r="H109" i="56"/>
  <c r="G109" i="56"/>
  <c r="W107" i="56"/>
  <c r="V107" i="56"/>
  <c r="T107" i="56"/>
  <c r="S107" i="56"/>
  <c r="Q107" i="56"/>
  <c r="P107" i="56"/>
  <c r="M107" i="56"/>
  <c r="L107" i="56"/>
  <c r="U106" i="56"/>
  <c r="R106" i="56"/>
  <c r="O106" i="56"/>
  <c r="K106" i="56"/>
  <c r="U104" i="56"/>
  <c r="R104" i="56"/>
  <c r="O104" i="56"/>
  <c r="O107" i="56" s="1"/>
  <c r="K104" i="56"/>
  <c r="H104" i="56"/>
  <c r="G104" i="56"/>
  <c r="W102" i="56"/>
  <c r="V102" i="56"/>
  <c r="T102" i="56"/>
  <c r="S102" i="56"/>
  <c r="Q102" i="56"/>
  <c r="P102" i="56"/>
  <c r="M102" i="56"/>
  <c r="L102" i="56"/>
  <c r="U101" i="56"/>
  <c r="R101" i="56"/>
  <c r="O101" i="56"/>
  <c r="K101" i="56"/>
  <c r="U99" i="56"/>
  <c r="R99" i="56"/>
  <c r="O99" i="56"/>
  <c r="O102" i="56" s="1"/>
  <c r="K99" i="56"/>
  <c r="H99" i="56"/>
  <c r="G99" i="56"/>
  <c r="W97" i="56"/>
  <c r="V97" i="56"/>
  <c r="T97" i="56"/>
  <c r="S97" i="56"/>
  <c r="Q97" i="56"/>
  <c r="P97" i="56"/>
  <c r="M97" i="56"/>
  <c r="L97" i="56"/>
  <c r="U96" i="56"/>
  <c r="R96" i="56"/>
  <c r="O96" i="56"/>
  <c r="K96" i="56"/>
  <c r="U94" i="56"/>
  <c r="U97" i="56" s="1"/>
  <c r="R94" i="56"/>
  <c r="R97" i="56" s="1"/>
  <c r="O94" i="56"/>
  <c r="O97" i="56" s="1"/>
  <c r="K94" i="56"/>
  <c r="K97" i="56" s="1"/>
  <c r="H94" i="56"/>
  <c r="G94" i="56"/>
  <c r="W92" i="56"/>
  <c r="V92" i="56"/>
  <c r="U92" i="56"/>
  <c r="T92" i="56"/>
  <c r="S92" i="56"/>
  <c r="Q92" i="56"/>
  <c r="P92" i="56"/>
  <c r="M92" i="56"/>
  <c r="L92" i="56"/>
  <c r="U91" i="56"/>
  <c r="R91" i="56"/>
  <c r="N91" i="56" s="1"/>
  <c r="O91" i="56"/>
  <c r="K91" i="56"/>
  <c r="U89" i="56"/>
  <c r="R89" i="56"/>
  <c r="O89" i="56"/>
  <c r="O92" i="56" s="1"/>
  <c r="N89" i="56"/>
  <c r="K89" i="56"/>
  <c r="H89" i="56"/>
  <c r="G89" i="56"/>
  <c r="W87" i="56"/>
  <c r="V87" i="56"/>
  <c r="T87" i="56"/>
  <c r="S87" i="56"/>
  <c r="Q87" i="56"/>
  <c r="P87" i="56"/>
  <c r="M87" i="56"/>
  <c r="L87" i="56"/>
  <c r="U86" i="56"/>
  <c r="R86" i="56"/>
  <c r="O86" i="56"/>
  <c r="K86" i="56"/>
  <c r="U84" i="56"/>
  <c r="R84" i="56"/>
  <c r="O84" i="56"/>
  <c r="O87" i="56" s="1"/>
  <c r="K84" i="56"/>
  <c r="H84" i="56"/>
  <c r="G84" i="56"/>
  <c r="W82" i="56"/>
  <c r="V82" i="56"/>
  <c r="T82" i="56"/>
  <c r="S82" i="56"/>
  <c r="Q82" i="56"/>
  <c r="P82" i="56"/>
  <c r="M82" i="56"/>
  <c r="L82" i="56"/>
  <c r="U81" i="56"/>
  <c r="R81" i="56"/>
  <c r="O81" i="56"/>
  <c r="K81" i="56"/>
  <c r="U79" i="56"/>
  <c r="R79" i="56"/>
  <c r="R82" i="56" s="1"/>
  <c r="O79" i="56"/>
  <c r="O82" i="56" s="1"/>
  <c r="K79" i="56"/>
  <c r="H79" i="56"/>
  <c r="G79" i="56"/>
  <c r="W77" i="56"/>
  <c r="V77" i="56"/>
  <c r="T77" i="56"/>
  <c r="S77" i="56"/>
  <c r="Q77" i="56"/>
  <c r="P77" i="56"/>
  <c r="M77" i="56"/>
  <c r="L77" i="56"/>
  <c r="U76" i="56"/>
  <c r="R76" i="56"/>
  <c r="O76" i="56"/>
  <c r="N76" i="56" s="1"/>
  <c r="K76" i="56"/>
  <c r="U74" i="56"/>
  <c r="U77" i="56" s="1"/>
  <c r="R74" i="56"/>
  <c r="R77" i="56" s="1"/>
  <c r="O74" i="56"/>
  <c r="K74" i="56"/>
  <c r="K77" i="56" s="1"/>
  <c r="H74" i="56"/>
  <c r="G74" i="56"/>
  <c r="W72" i="56"/>
  <c r="V72" i="56"/>
  <c r="T72" i="56"/>
  <c r="S72" i="56"/>
  <c r="Q72" i="56"/>
  <c r="P72" i="56"/>
  <c r="M72" i="56"/>
  <c r="L72" i="56"/>
  <c r="U71" i="56"/>
  <c r="R71" i="56"/>
  <c r="N71" i="56" s="1"/>
  <c r="O71" i="56"/>
  <c r="K71" i="56"/>
  <c r="U69" i="56"/>
  <c r="R69" i="56"/>
  <c r="O69" i="56"/>
  <c r="O72" i="56" s="1"/>
  <c r="N69" i="56"/>
  <c r="J69" i="56" s="1"/>
  <c r="K69" i="56"/>
  <c r="H69" i="56"/>
  <c r="G69" i="56"/>
  <c r="W67" i="56"/>
  <c r="V67" i="56"/>
  <c r="T67" i="56"/>
  <c r="S67" i="56"/>
  <c r="Q67" i="56"/>
  <c r="P67" i="56"/>
  <c r="M67" i="56"/>
  <c r="L67" i="56"/>
  <c r="U66" i="56"/>
  <c r="R66" i="56"/>
  <c r="O66" i="56"/>
  <c r="N66" i="56"/>
  <c r="J66" i="56" s="1"/>
  <c r="K66" i="56"/>
  <c r="U64" i="56"/>
  <c r="U67" i="56" s="1"/>
  <c r="R64" i="56"/>
  <c r="R67" i="56" s="1"/>
  <c r="O64" i="56"/>
  <c r="O67" i="56" s="1"/>
  <c r="K64" i="56"/>
  <c r="K67" i="56" s="1"/>
  <c r="H64" i="56"/>
  <c r="G64" i="56"/>
  <c r="W62" i="56"/>
  <c r="V62" i="56"/>
  <c r="T62" i="56"/>
  <c r="S62" i="56"/>
  <c r="Q62" i="56"/>
  <c r="P62" i="56"/>
  <c r="M62" i="56"/>
  <c r="L62" i="56"/>
  <c r="U61" i="56"/>
  <c r="R61" i="56"/>
  <c r="O61" i="56"/>
  <c r="K61" i="56"/>
  <c r="U59" i="56"/>
  <c r="R59" i="56"/>
  <c r="O59" i="56"/>
  <c r="O62" i="56" s="1"/>
  <c r="K59" i="56"/>
  <c r="H59" i="56"/>
  <c r="G59" i="56"/>
  <c r="W57" i="56"/>
  <c r="V57" i="56"/>
  <c r="T57" i="56"/>
  <c r="S57" i="56"/>
  <c r="Q57" i="56"/>
  <c r="P57" i="56"/>
  <c r="M57" i="56"/>
  <c r="L57" i="56"/>
  <c r="U56" i="56"/>
  <c r="R56" i="56"/>
  <c r="O56" i="56"/>
  <c r="N56" i="56" s="1"/>
  <c r="J56" i="56" s="1"/>
  <c r="K56" i="56"/>
  <c r="U54" i="56"/>
  <c r="U57" i="56" s="1"/>
  <c r="R54" i="56"/>
  <c r="R57" i="56" s="1"/>
  <c r="O54" i="56"/>
  <c r="O57" i="56" s="1"/>
  <c r="K54" i="56"/>
  <c r="K57" i="56" s="1"/>
  <c r="H54" i="56"/>
  <c r="G54" i="56"/>
  <c r="W52" i="56"/>
  <c r="V52" i="56"/>
  <c r="T52" i="56"/>
  <c r="S52" i="56"/>
  <c r="Q52" i="56"/>
  <c r="P52" i="56"/>
  <c r="M52" i="56"/>
  <c r="L52" i="56"/>
  <c r="U51" i="56"/>
  <c r="R51" i="56"/>
  <c r="N51" i="56" s="1"/>
  <c r="J51" i="56" s="1"/>
  <c r="O51" i="56"/>
  <c r="K51" i="56"/>
  <c r="U49" i="56"/>
  <c r="R49" i="56"/>
  <c r="N49" i="56" s="1"/>
  <c r="J49" i="56" s="1"/>
  <c r="O49" i="56"/>
  <c r="O52" i="56" s="1"/>
  <c r="K49" i="56"/>
  <c r="H49" i="56"/>
  <c r="G49" i="56"/>
  <c r="W47" i="56"/>
  <c r="V47" i="56"/>
  <c r="T47" i="56"/>
  <c r="S47" i="56"/>
  <c r="Q47" i="56"/>
  <c r="P47" i="56"/>
  <c r="M47" i="56"/>
  <c r="L47" i="56"/>
  <c r="U46" i="56"/>
  <c r="R46" i="56"/>
  <c r="N46" i="56" s="1"/>
  <c r="J46" i="56" s="1"/>
  <c r="O46" i="56"/>
  <c r="K46" i="56"/>
  <c r="U44" i="56"/>
  <c r="U47" i="56" s="1"/>
  <c r="R44" i="56"/>
  <c r="O44" i="56"/>
  <c r="O47" i="56" s="1"/>
  <c r="K44" i="56"/>
  <c r="K47" i="56" s="1"/>
  <c r="H44" i="56"/>
  <c r="G44" i="56"/>
  <c r="W42" i="56"/>
  <c r="V42" i="56"/>
  <c r="T42" i="56"/>
  <c r="S42" i="56"/>
  <c r="Q42" i="56"/>
  <c r="P42" i="56"/>
  <c r="M42" i="56"/>
  <c r="L42" i="56"/>
  <c r="U41" i="56"/>
  <c r="R41" i="56"/>
  <c r="O41" i="56"/>
  <c r="K41" i="56"/>
  <c r="U39" i="56"/>
  <c r="R39" i="56"/>
  <c r="O39" i="56"/>
  <c r="O42" i="56" s="1"/>
  <c r="K39" i="56"/>
  <c r="H39" i="56"/>
  <c r="G39" i="56"/>
  <c r="W37" i="56"/>
  <c r="V37" i="56"/>
  <c r="T37" i="56"/>
  <c r="S37" i="56"/>
  <c r="Q37" i="56"/>
  <c r="P37" i="56"/>
  <c r="M37" i="56"/>
  <c r="L37" i="56"/>
  <c r="U36" i="56"/>
  <c r="R36" i="56"/>
  <c r="O36" i="56"/>
  <c r="N36" i="56" s="1"/>
  <c r="J36" i="56" s="1"/>
  <c r="K36" i="56"/>
  <c r="U34" i="56"/>
  <c r="U37" i="56" s="1"/>
  <c r="R34" i="56"/>
  <c r="R37" i="56" s="1"/>
  <c r="O34" i="56"/>
  <c r="K34" i="56"/>
  <c r="K37" i="56" s="1"/>
  <c r="H34" i="56"/>
  <c r="G34" i="56"/>
  <c r="W32" i="56"/>
  <c r="V32" i="56"/>
  <c r="T32" i="56"/>
  <c r="S32" i="56"/>
  <c r="Q32" i="56"/>
  <c r="P32" i="56"/>
  <c r="M32" i="56"/>
  <c r="L32" i="56"/>
  <c r="U31" i="56"/>
  <c r="R31" i="56"/>
  <c r="N31" i="56" s="1"/>
  <c r="O31" i="56"/>
  <c r="K31" i="56"/>
  <c r="U29" i="56"/>
  <c r="R29" i="56"/>
  <c r="O29" i="56"/>
  <c r="O32" i="56" s="1"/>
  <c r="N29" i="56"/>
  <c r="J29" i="56" s="1"/>
  <c r="K29" i="56"/>
  <c r="H29" i="56"/>
  <c r="G29" i="56"/>
  <c r="W27" i="56"/>
  <c r="V27" i="56"/>
  <c r="T27" i="56"/>
  <c r="S27" i="56"/>
  <c r="Q27" i="56"/>
  <c r="P27" i="56"/>
  <c r="M27" i="56"/>
  <c r="L27" i="56"/>
  <c r="U26" i="56"/>
  <c r="R26" i="56"/>
  <c r="O26" i="56"/>
  <c r="N26" i="56"/>
  <c r="J26" i="56" s="1"/>
  <c r="K26" i="56"/>
  <c r="U24" i="56"/>
  <c r="U27" i="56" s="1"/>
  <c r="R24" i="56"/>
  <c r="R27" i="56" s="1"/>
  <c r="O24" i="56"/>
  <c r="O27" i="56" s="1"/>
  <c r="K24" i="56"/>
  <c r="K27" i="56" s="1"/>
  <c r="H24" i="56"/>
  <c r="G24" i="56"/>
  <c r="W22" i="56"/>
  <c r="V22" i="56"/>
  <c r="T22" i="56"/>
  <c r="S22" i="56"/>
  <c r="Q22" i="56"/>
  <c r="P22" i="56"/>
  <c r="M22" i="56"/>
  <c r="L22" i="56"/>
  <c r="U21" i="56"/>
  <c r="R21" i="56"/>
  <c r="O21" i="56"/>
  <c r="K21" i="56"/>
  <c r="U19" i="56"/>
  <c r="U114" i="56" s="1"/>
  <c r="R19" i="56"/>
  <c r="N19" i="56" s="1"/>
  <c r="J19" i="56" s="1"/>
  <c r="O19" i="56"/>
  <c r="K19" i="56"/>
  <c r="K114" i="56" s="1"/>
  <c r="H19" i="56"/>
  <c r="G19" i="56"/>
  <c r="U22" i="56" l="1"/>
  <c r="K116" i="56"/>
  <c r="N41" i="56"/>
  <c r="J41" i="56" s="1"/>
  <c r="U52" i="56"/>
  <c r="N59" i="56"/>
  <c r="J59" i="56" s="1"/>
  <c r="U82" i="56"/>
  <c r="N84" i="56"/>
  <c r="N96" i="56"/>
  <c r="J96" i="56" s="1"/>
  <c r="U102" i="56"/>
  <c r="N104" i="56"/>
  <c r="V117" i="56"/>
  <c r="F121" i="57"/>
  <c r="G105" i="57"/>
  <c r="K107" i="57"/>
  <c r="K117" i="56"/>
  <c r="U62" i="56"/>
  <c r="G114" i="56"/>
  <c r="J31" i="56"/>
  <c r="U42" i="56"/>
  <c r="J71" i="56"/>
  <c r="J72" i="56" s="1"/>
  <c r="J76" i="56"/>
  <c r="J91" i="56"/>
  <c r="H114" i="56"/>
  <c r="J111" i="56"/>
  <c r="T117" i="56"/>
  <c r="K14" i="57"/>
  <c r="G26" i="57"/>
  <c r="K47" i="57"/>
  <c r="E121" i="57"/>
  <c r="K90" i="57"/>
  <c r="K102" i="57"/>
  <c r="J32" i="56"/>
  <c r="U87" i="56"/>
  <c r="R102" i="56"/>
  <c r="U107" i="56"/>
  <c r="O116" i="56"/>
  <c r="R116" i="56"/>
  <c r="U32" i="56"/>
  <c r="O37" i="56"/>
  <c r="N39" i="56"/>
  <c r="J39" i="56" s="1"/>
  <c r="J42" i="56" s="1"/>
  <c r="R47" i="56"/>
  <c r="N61" i="56"/>
  <c r="J61" i="56" s="1"/>
  <c r="U72" i="56"/>
  <c r="O77" i="56"/>
  <c r="K92" i="56"/>
  <c r="K112" i="56"/>
  <c r="S117" i="56"/>
  <c r="G10" i="57"/>
  <c r="G11" i="57"/>
  <c r="K39" i="57"/>
  <c r="K87" i="57"/>
  <c r="K96" i="57"/>
  <c r="D99" i="57"/>
  <c r="G99" i="57" s="1"/>
  <c r="D121" i="57"/>
  <c r="G121" i="57" s="1"/>
  <c r="G70" i="57"/>
  <c r="K25" i="57"/>
  <c r="G25" i="57"/>
  <c r="J44" i="57"/>
  <c r="K44" i="57" s="1"/>
  <c r="I58" i="57"/>
  <c r="K58" i="57" s="1"/>
  <c r="H70" i="57"/>
  <c r="J104" i="57"/>
  <c r="J121" i="57" s="1"/>
  <c r="H109" i="57"/>
  <c r="K109" i="57" s="1"/>
  <c r="H10" i="57"/>
  <c r="K10" i="57" s="1"/>
  <c r="K28" i="57"/>
  <c r="G71" i="57"/>
  <c r="I93" i="57"/>
  <c r="K93" i="57" s="1"/>
  <c r="G110" i="57"/>
  <c r="H99" i="57"/>
  <c r="K99" i="57" s="1"/>
  <c r="J62" i="56"/>
  <c r="J52" i="56"/>
  <c r="R52" i="56"/>
  <c r="R72" i="56"/>
  <c r="J104" i="56"/>
  <c r="O114" i="56"/>
  <c r="O117" i="56" s="1"/>
  <c r="O22" i="56"/>
  <c r="N42" i="56"/>
  <c r="N92" i="56"/>
  <c r="J89" i="56"/>
  <c r="J92" i="56" s="1"/>
  <c r="N112" i="56"/>
  <c r="J109" i="56"/>
  <c r="N21" i="56"/>
  <c r="N22" i="56" s="1"/>
  <c r="N24" i="56"/>
  <c r="K32" i="56"/>
  <c r="K42" i="56"/>
  <c r="K52" i="56"/>
  <c r="K62" i="56"/>
  <c r="K72" i="56"/>
  <c r="N79" i="56"/>
  <c r="K87" i="56"/>
  <c r="N86" i="56"/>
  <c r="J86" i="56" s="1"/>
  <c r="R92" i="56"/>
  <c r="N99" i="56"/>
  <c r="K107" i="56"/>
  <c r="N106" i="56"/>
  <c r="J106" i="56" s="1"/>
  <c r="R112" i="56"/>
  <c r="R22" i="56"/>
  <c r="R32" i="56"/>
  <c r="R42" i="56"/>
  <c r="R62" i="56"/>
  <c r="J84" i="56"/>
  <c r="U116" i="56"/>
  <c r="U117" i="56" s="1"/>
  <c r="N32" i="56"/>
  <c r="N52" i="56"/>
  <c r="N72" i="56"/>
  <c r="R114" i="56"/>
  <c r="R117" i="56" s="1"/>
  <c r="N34" i="56"/>
  <c r="N44" i="56"/>
  <c r="N54" i="56"/>
  <c r="N64" i="56"/>
  <c r="N74" i="56"/>
  <c r="K82" i="56"/>
  <c r="N81" i="56"/>
  <c r="J81" i="56" s="1"/>
  <c r="R87" i="56"/>
  <c r="N94" i="56"/>
  <c r="K102" i="56"/>
  <c r="N101" i="56"/>
  <c r="J101" i="56" s="1"/>
  <c r="R107" i="56"/>
  <c r="K22" i="56"/>
  <c r="N87" i="56" l="1"/>
  <c r="J112" i="56"/>
  <c r="N62" i="56"/>
  <c r="J87" i="56"/>
  <c r="N107" i="56"/>
  <c r="H121" i="57"/>
  <c r="K121" i="57" s="1"/>
  <c r="K70" i="57"/>
  <c r="K104" i="57"/>
  <c r="I121" i="57"/>
  <c r="J44" i="56"/>
  <c r="J47" i="56" s="1"/>
  <c r="N47" i="56"/>
  <c r="N97" i="56"/>
  <c r="J94" i="56"/>
  <c r="J97" i="56" s="1"/>
  <c r="N77" i="56"/>
  <c r="J74" i="56"/>
  <c r="J77" i="56" s="1"/>
  <c r="J34" i="56"/>
  <c r="J37" i="56" s="1"/>
  <c r="N37" i="56"/>
  <c r="J24" i="56"/>
  <c r="N27" i="56"/>
  <c r="N67" i="56"/>
  <c r="J64" i="56"/>
  <c r="J67" i="56" s="1"/>
  <c r="N114" i="56"/>
  <c r="N116" i="56"/>
  <c r="J21" i="56"/>
  <c r="N57" i="56"/>
  <c r="J54" i="56"/>
  <c r="J57" i="56" s="1"/>
  <c r="N102" i="56"/>
  <c r="J99" i="56"/>
  <c r="J102" i="56" s="1"/>
  <c r="N82" i="56"/>
  <c r="J79" i="56"/>
  <c r="J82" i="56" s="1"/>
  <c r="J107" i="56"/>
  <c r="N117" i="56" l="1"/>
  <c r="J27" i="56"/>
  <c r="J114" i="56"/>
  <c r="J116" i="56"/>
  <c r="J22" i="56"/>
  <c r="J117" i="56" l="1"/>
  <c r="I545" i="55"/>
  <c r="Q541" i="55"/>
  <c r="X540" i="55"/>
  <c r="W540" i="55"/>
  <c r="U540" i="55"/>
  <c r="T540" i="55"/>
  <c r="R540" i="55"/>
  <c r="Q540" i="55"/>
  <c r="N540" i="55"/>
  <c r="N545" i="55" s="1"/>
  <c r="M540" i="55"/>
  <c r="X538" i="55"/>
  <c r="X541" i="55" s="1"/>
  <c r="W538" i="55"/>
  <c r="U538" i="55"/>
  <c r="T538" i="55"/>
  <c r="R538" i="55"/>
  <c r="Q538" i="55"/>
  <c r="Q543" i="55" s="1"/>
  <c r="N538" i="55"/>
  <c r="M538" i="55"/>
  <c r="M541" i="55" s="1"/>
  <c r="X536" i="55"/>
  <c r="W536" i="55"/>
  <c r="U536" i="55"/>
  <c r="T536" i="55"/>
  <c r="R536" i="55"/>
  <c r="Q536" i="55"/>
  <c r="N536" i="55"/>
  <c r="M536" i="55"/>
  <c r="V535" i="55"/>
  <c r="V536" i="55" s="1"/>
  <c r="S535" i="55"/>
  <c r="O535" i="55" s="1"/>
  <c r="P535" i="55"/>
  <c r="L535" i="55"/>
  <c r="V533" i="55"/>
  <c r="S533" i="55"/>
  <c r="S536" i="55" s="1"/>
  <c r="P533" i="55"/>
  <c r="L533" i="55"/>
  <c r="X531" i="55"/>
  <c r="W531" i="55"/>
  <c r="U531" i="55"/>
  <c r="T531" i="55"/>
  <c r="R531" i="55"/>
  <c r="Q531" i="55"/>
  <c r="N531" i="55"/>
  <c r="M531" i="55"/>
  <c r="V530" i="55"/>
  <c r="S530" i="55"/>
  <c r="P530" i="55"/>
  <c r="L530" i="55"/>
  <c r="V528" i="55"/>
  <c r="V531" i="55" s="1"/>
  <c r="S528" i="55"/>
  <c r="S531" i="55" s="1"/>
  <c r="P528" i="55"/>
  <c r="L528" i="55"/>
  <c r="X526" i="55"/>
  <c r="W526" i="55"/>
  <c r="U526" i="55"/>
  <c r="T526" i="55"/>
  <c r="R526" i="55"/>
  <c r="Q526" i="55"/>
  <c r="N526" i="55"/>
  <c r="M526" i="55"/>
  <c r="V525" i="55"/>
  <c r="S525" i="55"/>
  <c r="P525" i="55"/>
  <c r="O525" i="55" s="1"/>
  <c r="L525" i="55"/>
  <c r="V523" i="55"/>
  <c r="S523" i="55"/>
  <c r="S526" i="55" s="1"/>
  <c r="P523" i="55"/>
  <c r="L523" i="55"/>
  <c r="L526" i="55" s="1"/>
  <c r="X521" i="55"/>
  <c r="W521" i="55"/>
  <c r="U521" i="55"/>
  <c r="T521" i="55"/>
  <c r="R521" i="55"/>
  <c r="Q521" i="55"/>
  <c r="N521" i="55"/>
  <c r="M521" i="55"/>
  <c r="V520" i="55"/>
  <c r="S520" i="55"/>
  <c r="P520" i="55"/>
  <c r="L520" i="55"/>
  <c r="V518" i="55"/>
  <c r="V521" i="55" s="1"/>
  <c r="S518" i="55"/>
  <c r="P518" i="55"/>
  <c r="P521" i="55" s="1"/>
  <c r="L518" i="55"/>
  <c r="X516" i="55"/>
  <c r="W516" i="55"/>
  <c r="U516" i="55"/>
  <c r="T516" i="55"/>
  <c r="R516" i="55"/>
  <c r="Q516" i="55"/>
  <c r="P516" i="55"/>
  <c r="N516" i="55"/>
  <c r="M516" i="55"/>
  <c r="V515" i="55"/>
  <c r="S515" i="55"/>
  <c r="P515" i="55"/>
  <c r="L515" i="55"/>
  <c r="V513" i="55"/>
  <c r="V516" i="55" s="1"/>
  <c r="S513" i="55"/>
  <c r="S516" i="55" s="1"/>
  <c r="P513" i="55"/>
  <c r="L513" i="55"/>
  <c r="L516" i="55" s="1"/>
  <c r="X511" i="55"/>
  <c r="W511" i="55"/>
  <c r="U511" i="55"/>
  <c r="T511" i="55"/>
  <c r="R511" i="55"/>
  <c r="Q511" i="55"/>
  <c r="N511" i="55"/>
  <c r="M511" i="55"/>
  <c r="V510" i="55"/>
  <c r="S510" i="55"/>
  <c r="P510" i="55"/>
  <c r="L510" i="55"/>
  <c r="V508" i="55"/>
  <c r="S508" i="55"/>
  <c r="P508" i="55"/>
  <c r="P511" i="55" s="1"/>
  <c r="L508" i="55"/>
  <c r="X506" i="55"/>
  <c r="W506" i="55"/>
  <c r="U506" i="55"/>
  <c r="T506" i="55"/>
  <c r="R506" i="55"/>
  <c r="Q506" i="55"/>
  <c r="N506" i="55"/>
  <c r="M506" i="55"/>
  <c r="V505" i="55"/>
  <c r="S505" i="55"/>
  <c r="P505" i="55"/>
  <c r="L505" i="55"/>
  <c r="V503" i="55"/>
  <c r="V506" i="55" s="1"/>
  <c r="S503" i="55"/>
  <c r="S506" i="55" s="1"/>
  <c r="P503" i="55"/>
  <c r="L503" i="55"/>
  <c r="L506" i="55" s="1"/>
  <c r="X501" i="55"/>
  <c r="W501" i="55"/>
  <c r="U501" i="55"/>
  <c r="T501" i="55"/>
  <c r="R501" i="55"/>
  <c r="Q501" i="55"/>
  <c r="P501" i="55"/>
  <c r="N501" i="55"/>
  <c r="M501" i="55"/>
  <c r="V500" i="55"/>
  <c r="S500" i="55"/>
  <c r="P500" i="55"/>
  <c r="L500" i="55"/>
  <c r="L501" i="55" s="1"/>
  <c r="V498" i="55"/>
  <c r="S498" i="55"/>
  <c r="S501" i="55" s="1"/>
  <c r="P498" i="55"/>
  <c r="L498" i="55"/>
  <c r="X496" i="55"/>
  <c r="W496" i="55"/>
  <c r="U496" i="55"/>
  <c r="T496" i="55"/>
  <c r="S496" i="55"/>
  <c r="R496" i="55"/>
  <c r="Q496" i="55"/>
  <c r="N496" i="55"/>
  <c r="M496" i="55"/>
  <c r="V495" i="55"/>
  <c r="S495" i="55"/>
  <c r="P495" i="55"/>
  <c r="L495" i="55"/>
  <c r="V493" i="55"/>
  <c r="S493" i="55"/>
  <c r="P493" i="55"/>
  <c r="L493" i="55"/>
  <c r="X491" i="55"/>
  <c r="W491" i="55"/>
  <c r="U491" i="55"/>
  <c r="T491" i="55"/>
  <c r="R491" i="55"/>
  <c r="Q491" i="55"/>
  <c r="N491" i="55"/>
  <c r="M491" i="55"/>
  <c r="V490" i="55"/>
  <c r="S490" i="55"/>
  <c r="P490" i="55"/>
  <c r="L490" i="55"/>
  <c r="V488" i="55"/>
  <c r="V491" i="55" s="1"/>
  <c r="S488" i="55"/>
  <c r="S491" i="55" s="1"/>
  <c r="P488" i="55"/>
  <c r="L488" i="55"/>
  <c r="X486" i="55"/>
  <c r="W486" i="55"/>
  <c r="U486" i="55"/>
  <c r="T486" i="55"/>
  <c r="R486" i="55"/>
  <c r="Q486" i="55"/>
  <c r="N486" i="55"/>
  <c r="M486" i="55"/>
  <c r="L486" i="55"/>
  <c r="V485" i="55"/>
  <c r="S485" i="55"/>
  <c r="O485" i="55" s="1"/>
  <c r="P485" i="55"/>
  <c r="L485" i="55"/>
  <c r="V483" i="55"/>
  <c r="V486" i="55" s="1"/>
  <c r="S483" i="55"/>
  <c r="S486" i="55" s="1"/>
  <c r="P483" i="55"/>
  <c r="L483" i="55"/>
  <c r="X481" i="55"/>
  <c r="W481" i="55"/>
  <c r="U481" i="55"/>
  <c r="T481" i="55"/>
  <c r="R481" i="55"/>
  <c r="Q481" i="55"/>
  <c r="N481" i="55"/>
  <c r="M481" i="55"/>
  <c r="V480" i="55"/>
  <c r="S480" i="55"/>
  <c r="P480" i="55"/>
  <c r="L480" i="55"/>
  <c r="V478" i="55"/>
  <c r="S478" i="55"/>
  <c r="S481" i="55" s="1"/>
  <c r="P478" i="55"/>
  <c r="L478" i="55"/>
  <c r="X476" i="55"/>
  <c r="W476" i="55"/>
  <c r="U476" i="55"/>
  <c r="T476" i="55"/>
  <c r="R476" i="55"/>
  <c r="Q476" i="55"/>
  <c r="P476" i="55"/>
  <c r="N476" i="55"/>
  <c r="M476" i="55"/>
  <c r="V475" i="55"/>
  <c r="S475" i="55"/>
  <c r="P475" i="55"/>
  <c r="L475" i="55"/>
  <c r="V473" i="55"/>
  <c r="V476" i="55" s="1"/>
  <c r="S473" i="55"/>
  <c r="S476" i="55" s="1"/>
  <c r="P473" i="55"/>
  <c r="L473" i="55"/>
  <c r="L476" i="55" s="1"/>
  <c r="X471" i="55"/>
  <c r="W471" i="55"/>
  <c r="U471" i="55"/>
  <c r="T471" i="55"/>
  <c r="R471" i="55"/>
  <c r="Q471" i="55"/>
  <c r="N471" i="55"/>
  <c r="M471" i="55"/>
  <c r="V470" i="55"/>
  <c r="S470" i="55"/>
  <c r="P470" i="55"/>
  <c r="L470" i="55"/>
  <c r="V468" i="55"/>
  <c r="S468" i="55"/>
  <c r="P468" i="55"/>
  <c r="O468" i="55" s="1"/>
  <c r="L468" i="55"/>
  <c r="X466" i="55"/>
  <c r="W466" i="55"/>
  <c r="U466" i="55"/>
  <c r="T466" i="55"/>
  <c r="S466" i="55"/>
  <c r="R466" i="55"/>
  <c r="Q466" i="55"/>
  <c r="N466" i="55"/>
  <c r="M466" i="55"/>
  <c r="V465" i="55"/>
  <c r="S465" i="55"/>
  <c r="P465" i="55"/>
  <c r="O465" i="55"/>
  <c r="L465" i="55"/>
  <c r="V463" i="55"/>
  <c r="V466" i="55" s="1"/>
  <c r="S463" i="55"/>
  <c r="P463" i="55"/>
  <c r="L463" i="55"/>
  <c r="L466" i="55" s="1"/>
  <c r="X461" i="55"/>
  <c r="W461" i="55"/>
  <c r="U461" i="55"/>
  <c r="T461" i="55"/>
  <c r="R461" i="55"/>
  <c r="Q461" i="55"/>
  <c r="N461" i="55"/>
  <c r="M461" i="55"/>
  <c r="V460" i="55"/>
  <c r="S460" i="55"/>
  <c r="P460" i="55"/>
  <c r="L460" i="55"/>
  <c r="V458" i="55"/>
  <c r="S458" i="55"/>
  <c r="S461" i="55" s="1"/>
  <c r="P458" i="55"/>
  <c r="O458" i="55" s="1"/>
  <c r="L458" i="55"/>
  <c r="X456" i="55"/>
  <c r="W456" i="55"/>
  <c r="U456" i="55"/>
  <c r="T456" i="55"/>
  <c r="R456" i="55"/>
  <c r="Q456" i="55"/>
  <c r="N456" i="55"/>
  <c r="M456" i="55"/>
  <c r="V455" i="55"/>
  <c r="S455" i="55"/>
  <c r="P455" i="55"/>
  <c r="L455" i="55"/>
  <c r="V453" i="55"/>
  <c r="S453" i="55"/>
  <c r="S456" i="55" s="1"/>
  <c r="P453" i="55"/>
  <c r="L453" i="55"/>
  <c r="L456" i="55" s="1"/>
  <c r="X451" i="55"/>
  <c r="W451" i="55"/>
  <c r="U451" i="55"/>
  <c r="T451" i="55"/>
  <c r="R451" i="55"/>
  <c r="Q451" i="55"/>
  <c r="N451" i="55"/>
  <c r="M451" i="55"/>
  <c r="V450" i="55"/>
  <c r="S450" i="55"/>
  <c r="P450" i="55"/>
  <c r="L450" i="55"/>
  <c r="V448" i="55"/>
  <c r="V451" i="55" s="1"/>
  <c r="S448" i="55"/>
  <c r="S451" i="55" s="1"/>
  <c r="P448" i="55"/>
  <c r="L448" i="55"/>
  <c r="X446" i="55"/>
  <c r="W446" i="55"/>
  <c r="U446" i="55"/>
  <c r="T446" i="55"/>
  <c r="R446" i="55"/>
  <c r="Q446" i="55"/>
  <c r="N446" i="55"/>
  <c r="M446" i="55"/>
  <c r="V445" i="55"/>
  <c r="S445" i="55"/>
  <c r="P445" i="55"/>
  <c r="O445" i="55" s="1"/>
  <c r="L445" i="55"/>
  <c r="V443" i="55"/>
  <c r="V446" i="55" s="1"/>
  <c r="S443" i="55"/>
  <c r="S446" i="55" s="1"/>
  <c r="P443" i="55"/>
  <c r="P446" i="55" s="1"/>
  <c r="L443" i="55"/>
  <c r="L446" i="55" s="1"/>
  <c r="X441" i="55"/>
  <c r="W441" i="55"/>
  <c r="U441" i="55"/>
  <c r="T441" i="55"/>
  <c r="R441" i="55"/>
  <c r="Q441" i="55"/>
  <c r="N441" i="55"/>
  <c r="M441" i="55"/>
  <c r="V440" i="55"/>
  <c r="S440" i="55"/>
  <c r="P440" i="55"/>
  <c r="L440" i="55"/>
  <c r="V438" i="55"/>
  <c r="V441" i="55" s="1"/>
  <c r="S438" i="55"/>
  <c r="O438" i="55" s="1"/>
  <c r="P438" i="55"/>
  <c r="L438" i="55"/>
  <c r="L441" i="55" s="1"/>
  <c r="X436" i="55"/>
  <c r="W436" i="55"/>
  <c r="U436" i="55"/>
  <c r="T436" i="55"/>
  <c r="R436" i="55"/>
  <c r="Q436" i="55"/>
  <c r="N436" i="55"/>
  <c r="M436" i="55"/>
  <c r="V435" i="55"/>
  <c r="S435" i="55"/>
  <c r="P435" i="55"/>
  <c r="O435" i="55" s="1"/>
  <c r="K435" i="55" s="1"/>
  <c r="L435" i="55"/>
  <c r="V433" i="55"/>
  <c r="V436" i="55" s="1"/>
  <c r="S433" i="55"/>
  <c r="P433" i="55"/>
  <c r="L433" i="55"/>
  <c r="L436" i="55" s="1"/>
  <c r="X431" i="55"/>
  <c r="W431" i="55"/>
  <c r="U431" i="55"/>
  <c r="T431" i="55"/>
  <c r="R431" i="55"/>
  <c r="Q431" i="55"/>
  <c r="N431" i="55"/>
  <c r="M431" i="55"/>
  <c r="V430" i="55"/>
  <c r="S430" i="55"/>
  <c r="P430" i="55"/>
  <c r="L430" i="55"/>
  <c r="V428" i="55"/>
  <c r="V431" i="55" s="1"/>
  <c r="S428" i="55"/>
  <c r="S431" i="55" s="1"/>
  <c r="P428" i="55"/>
  <c r="L428" i="55"/>
  <c r="X426" i="55"/>
  <c r="W426" i="55"/>
  <c r="U426" i="55"/>
  <c r="T426" i="55"/>
  <c r="R426" i="55"/>
  <c r="Q426" i="55"/>
  <c r="N426" i="55"/>
  <c r="M426" i="55"/>
  <c r="V425" i="55"/>
  <c r="S425" i="55"/>
  <c r="P425" i="55"/>
  <c r="L425" i="55"/>
  <c r="V423" i="55"/>
  <c r="V426" i="55" s="1"/>
  <c r="S423" i="55"/>
  <c r="P423" i="55"/>
  <c r="P426" i="55" s="1"/>
  <c r="L423" i="55"/>
  <c r="L426" i="55" s="1"/>
  <c r="X421" i="55"/>
  <c r="W421" i="55"/>
  <c r="U421" i="55"/>
  <c r="T421" i="55"/>
  <c r="R421" i="55"/>
  <c r="Q421" i="55"/>
  <c r="N421" i="55"/>
  <c r="M421" i="55"/>
  <c r="V420" i="55"/>
  <c r="S420" i="55"/>
  <c r="O420" i="55" s="1"/>
  <c r="P420" i="55"/>
  <c r="L420" i="55"/>
  <c r="K420" i="55" s="1"/>
  <c r="V418" i="55"/>
  <c r="V421" i="55" s="1"/>
  <c r="S418" i="55"/>
  <c r="P418" i="55"/>
  <c r="O418" i="55" s="1"/>
  <c r="L418" i="55"/>
  <c r="L421" i="55" s="1"/>
  <c r="X416" i="55"/>
  <c r="W416" i="55"/>
  <c r="U416" i="55"/>
  <c r="T416" i="55"/>
  <c r="R416" i="55"/>
  <c r="Q416" i="55"/>
  <c r="N416" i="55"/>
  <c r="M416" i="55"/>
  <c r="V415" i="55"/>
  <c r="S415" i="55"/>
  <c r="P415" i="55"/>
  <c r="L415" i="55"/>
  <c r="V413" i="55"/>
  <c r="S413" i="55"/>
  <c r="S416" i="55" s="1"/>
  <c r="P413" i="55"/>
  <c r="P416" i="55" s="1"/>
  <c r="L413" i="55"/>
  <c r="X411" i="55"/>
  <c r="W411" i="55"/>
  <c r="U411" i="55"/>
  <c r="T411" i="55"/>
  <c r="R411" i="55"/>
  <c r="Q411" i="55"/>
  <c r="N411" i="55"/>
  <c r="M411" i="55"/>
  <c r="V410" i="55"/>
  <c r="S410" i="55"/>
  <c r="O410" i="55" s="1"/>
  <c r="K410" i="55" s="1"/>
  <c r="P410" i="55"/>
  <c r="L410" i="55"/>
  <c r="V408" i="55"/>
  <c r="V411" i="55" s="1"/>
  <c r="S408" i="55"/>
  <c r="P408" i="55"/>
  <c r="L408" i="55"/>
  <c r="L411" i="55" s="1"/>
  <c r="X406" i="55"/>
  <c r="W406" i="55"/>
  <c r="U406" i="55"/>
  <c r="T406" i="55"/>
  <c r="R406" i="55"/>
  <c r="Q406" i="55"/>
  <c r="N406" i="55"/>
  <c r="M406" i="55"/>
  <c r="V405" i="55"/>
  <c r="V406" i="55" s="1"/>
  <c r="S405" i="55"/>
  <c r="P405" i="55"/>
  <c r="O405" i="55" s="1"/>
  <c r="L405" i="55"/>
  <c r="V403" i="55"/>
  <c r="S403" i="55"/>
  <c r="S406" i="55" s="1"/>
  <c r="P403" i="55"/>
  <c r="L403" i="55"/>
  <c r="X401" i="55"/>
  <c r="W401" i="55"/>
  <c r="U401" i="55"/>
  <c r="T401" i="55"/>
  <c r="R401" i="55"/>
  <c r="Q401" i="55"/>
  <c r="N401" i="55"/>
  <c r="M401" i="55"/>
  <c r="V400" i="55"/>
  <c r="S400" i="55"/>
  <c r="P400" i="55"/>
  <c r="P401" i="55" s="1"/>
  <c r="L400" i="55"/>
  <c r="V398" i="55"/>
  <c r="S398" i="55"/>
  <c r="O398" i="55" s="1"/>
  <c r="P398" i="55"/>
  <c r="L398" i="55"/>
  <c r="X396" i="55"/>
  <c r="W396" i="55"/>
  <c r="U396" i="55"/>
  <c r="T396" i="55"/>
  <c r="R396" i="55"/>
  <c r="Q396" i="55"/>
  <c r="N396" i="55"/>
  <c r="M396" i="55"/>
  <c r="V395" i="55"/>
  <c r="S395" i="55"/>
  <c r="P395" i="55"/>
  <c r="O395" i="55" s="1"/>
  <c r="K395" i="55" s="1"/>
  <c r="L395" i="55"/>
  <c r="V393" i="55"/>
  <c r="V396" i="55" s="1"/>
  <c r="S393" i="55"/>
  <c r="P393" i="55"/>
  <c r="L393" i="55"/>
  <c r="L396" i="55" s="1"/>
  <c r="X391" i="55"/>
  <c r="W391" i="55"/>
  <c r="U391" i="55"/>
  <c r="T391" i="55"/>
  <c r="R391" i="55"/>
  <c r="Q391" i="55"/>
  <c r="P391" i="55"/>
  <c r="N391" i="55"/>
  <c r="M391" i="55"/>
  <c r="V390" i="55"/>
  <c r="S390" i="55"/>
  <c r="P390" i="55"/>
  <c r="L390" i="55"/>
  <c r="V388" i="55"/>
  <c r="S388" i="55"/>
  <c r="O388" i="55" s="1"/>
  <c r="P388" i="55"/>
  <c r="L388" i="55"/>
  <c r="L391" i="55" s="1"/>
  <c r="I384" i="55"/>
  <c r="I547" i="55" s="1"/>
  <c r="H384" i="55"/>
  <c r="I383" i="55"/>
  <c r="I546" i="55" s="1"/>
  <c r="H383" i="55"/>
  <c r="X382" i="55"/>
  <c r="W382" i="55"/>
  <c r="U382" i="55"/>
  <c r="U383" i="55" s="1"/>
  <c r="T382" i="55"/>
  <c r="R382" i="55"/>
  <c r="Q382" i="55"/>
  <c r="N382" i="55"/>
  <c r="M382" i="55"/>
  <c r="I382" i="55"/>
  <c r="H382" i="55"/>
  <c r="I381" i="55"/>
  <c r="H381" i="55"/>
  <c r="H544" i="55" s="1"/>
  <c r="X380" i="55"/>
  <c r="X383" i="55" s="1"/>
  <c r="W380" i="55"/>
  <c r="W383" i="55" s="1"/>
  <c r="U380" i="55"/>
  <c r="T380" i="55"/>
  <c r="R380" i="55"/>
  <c r="R383" i="55" s="1"/>
  <c r="Q380" i="55"/>
  <c r="Q383" i="55" s="1"/>
  <c r="N380" i="55"/>
  <c r="N383" i="55" s="1"/>
  <c r="M380" i="55"/>
  <c r="M383" i="55" s="1"/>
  <c r="X378" i="55"/>
  <c r="W378" i="55"/>
  <c r="U378" i="55"/>
  <c r="T378" i="55"/>
  <c r="R378" i="55"/>
  <c r="Q378" i="55"/>
  <c r="N378" i="55"/>
  <c r="M378" i="55"/>
  <c r="V377" i="55"/>
  <c r="V378" i="55" s="1"/>
  <c r="S377" i="55"/>
  <c r="P377" i="55"/>
  <c r="L377" i="55"/>
  <c r="V375" i="55"/>
  <c r="S375" i="55"/>
  <c r="S378" i="55" s="1"/>
  <c r="P375" i="55"/>
  <c r="L375" i="55"/>
  <c r="I375" i="55"/>
  <c r="H375" i="55"/>
  <c r="X373" i="55"/>
  <c r="W373" i="55"/>
  <c r="V373" i="55"/>
  <c r="U373" i="55"/>
  <c r="T373" i="55"/>
  <c r="R373" i="55"/>
  <c r="Q373" i="55"/>
  <c r="N373" i="55"/>
  <c r="M373" i="55"/>
  <c r="V372" i="55"/>
  <c r="S372" i="55"/>
  <c r="P372" i="55"/>
  <c r="L372" i="55"/>
  <c r="V370" i="55"/>
  <c r="S370" i="55"/>
  <c r="S373" i="55" s="1"/>
  <c r="P370" i="55"/>
  <c r="P373" i="55" s="1"/>
  <c r="O370" i="55"/>
  <c r="L370" i="55"/>
  <c r="L373" i="55" s="1"/>
  <c r="I370" i="55"/>
  <c r="H370" i="55"/>
  <c r="X368" i="55"/>
  <c r="W368" i="55"/>
  <c r="U368" i="55"/>
  <c r="T368" i="55"/>
  <c r="R368" i="55"/>
  <c r="Q368" i="55"/>
  <c r="N368" i="55"/>
  <c r="M368" i="55"/>
  <c r="V367" i="55"/>
  <c r="S367" i="55"/>
  <c r="P367" i="55"/>
  <c r="L367" i="55"/>
  <c r="V365" i="55"/>
  <c r="S365" i="55"/>
  <c r="S368" i="55" s="1"/>
  <c r="P365" i="55"/>
  <c r="L365" i="55"/>
  <c r="I365" i="55"/>
  <c r="H365" i="55"/>
  <c r="X363" i="55"/>
  <c r="W363" i="55"/>
  <c r="V363" i="55"/>
  <c r="U363" i="55"/>
  <c r="T363" i="55"/>
  <c r="R363" i="55"/>
  <c r="Q363" i="55"/>
  <c r="N363" i="55"/>
  <c r="M363" i="55"/>
  <c r="V362" i="55"/>
  <c r="S362" i="55"/>
  <c r="P362" i="55"/>
  <c r="L362" i="55"/>
  <c r="V360" i="55"/>
  <c r="S360" i="55"/>
  <c r="S363" i="55" s="1"/>
  <c r="P360" i="55"/>
  <c r="P363" i="55" s="1"/>
  <c r="O360" i="55"/>
  <c r="L360" i="55"/>
  <c r="L363" i="55" s="1"/>
  <c r="I360" i="55"/>
  <c r="H360" i="55"/>
  <c r="X358" i="55"/>
  <c r="W358" i="55"/>
  <c r="U358" i="55"/>
  <c r="T358" i="55"/>
  <c r="R358" i="55"/>
  <c r="Q358" i="55"/>
  <c r="N358" i="55"/>
  <c r="M358" i="55"/>
  <c r="V357" i="55"/>
  <c r="S357" i="55"/>
  <c r="P357" i="55"/>
  <c r="L357" i="55"/>
  <c r="V355" i="55"/>
  <c r="S355" i="55"/>
  <c r="S358" i="55" s="1"/>
  <c r="P355" i="55"/>
  <c r="L355" i="55"/>
  <c r="L358" i="55" s="1"/>
  <c r="I355" i="55"/>
  <c r="H355" i="55"/>
  <c r="X353" i="55"/>
  <c r="W353" i="55"/>
  <c r="U353" i="55"/>
  <c r="T353" i="55"/>
  <c r="R353" i="55"/>
  <c r="Q353" i="55"/>
  <c r="N353" i="55"/>
  <c r="M353" i="55"/>
  <c r="V352" i="55"/>
  <c r="S352" i="55"/>
  <c r="P352" i="55"/>
  <c r="L352" i="55"/>
  <c r="V350" i="55"/>
  <c r="V353" i="55" s="1"/>
  <c r="S350" i="55"/>
  <c r="S353" i="55" s="1"/>
  <c r="P350" i="55"/>
  <c r="P353" i="55" s="1"/>
  <c r="L350" i="55"/>
  <c r="I350" i="55"/>
  <c r="H350" i="55"/>
  <c r="X348" i="55"/>
  <c r="W348" i="55"/>
  <c r="U348" i="55"/>
  <c r="T348" i="55"/>
  <c r="R348" i="55"/>
  <c r="Q348" i="55"/>
  <c r="N348" i="55"/>
  <c r="M348" i="55"/>
  <c r="V347" i="55"/>
  <c r="S347" i="55"/>
  <c r="P347" i="55"/>
  <c r="P382" i="55" s="1"/>
  <c r="L347" i="55"/>
  <c r="V345" i="55"/>
  <c r="S345" i="55"/>
  <c r="S348" i="55" s="1"/>
  <c r="P345" i="55"/>
  <c r="L345" i="55"/>
  <c r="L380" i="55" s="1"/>
  <c r="I345" i="55"/>
  <c r="H345" i="55"/>
  <c r="I341" i="55"/>
  <c r="H341" i="55"/>
  <c r="T340" i="55"/>
  <c r="I340" i="55"/>
  <c r="H340" i="55"/>
  <c r="X339" i="55"/>
  <c r="W339" i="55"/>
  <c r="U339" i="55"/>
  <c r="T339" i="55"/>
  <c r="T545" i="55" s="1"/>
  <c r="R339" i="55"/>
  <c r="Q339" i="55"/>
  <c r="N339" i="55"/>
  <c r="M339" i="55"/>
  <c r="I339" i="55"/>
  <c r="H339" i="55"/>
  <c r="I338" i="55"/>
  <c r="H338" i="55"/>
  <c r="X337" i="55"/>
  <c r="X340" i="55" s="1"/>
  <c r="W337" i="55"/>
  <c r="W340" i="55" s="1"/>
  <c r="U337" i="55"/>
  <c r="U340" i="55" s="1"/>
  <c r="T337" i="55"/>
  <c r="R337" i="55"/>
  <c r="R340" i="55" s="1"/>
  <c r="Q337" i="55"/>
  <c r="N337" i="55"/>
  <c r="N340" i="55" s="1"/>
  <c r="M337" i="55"/>
  <c r="M543" i="55" s="1"/>
  <c r="X335" i="55"/>
  <c r="W335" i="55"/>
  <c r="U335" i="55"/>
  <c r="T335" i="55"/>
  <c r="R335" i="55"/>
  <c r="Q335" i="55"/>
  <c r="N335" i="55"/>
  <c r="M335" i="55"/>
  <c r="V334" i="55"/>
  <c r="S334" i="55"/>
  <c r="P334" i="55"/>
  <c r="L334" i="55"/>
  <c r="V332" i="55"/>
  <c r="S332" i="55"/>
  <c r="S335" i="55" s="1"/>
  <c r="P332" i="55"/>
  <c r="L332" i="55"/>
  <c r="L335" i="55" s="1"/>
  <c r="I332" i="55"/>
  <c r="H332" i="55"/>
  <c r="X330" i="55"/>
  <c r="W330" i="55"/>
  <c r="U330" i="55"/>
  <c r="T330" i="55"/>
  <c r="S330" i="55"/>
  <c r="R330" i="55"/>
  <c r="Q330" i="55"/>
  <c r="N330" i="55"/>
  <c r="M330" i="55"/>
  <c r="V329" i="55"/>
  <c r="S329" i="55"/>
  <c r="P329" i="55"/>
  <c r="L329" i="55"/>
  <c r="V327" i="55"/>
  <c r="V330" i="55" s="1"/>
  <c r="S327" i="55"/>
  <c r="P327" i="55"/>
  <c r="P330" i="55" s="1"/>
  <c r="L327" i="55"/>
  <c r="I327" i="55"/>
  <c r="H327" i="55"/>
  <c r="X325" i="55"/>
  <c r="W325" i="55"/>
  <c r="U325" i="55"/>
  <c r="T325" i="55"/>
  <c r="R325" i="55"/>
  <c r="Q325" i="55"/>
  <c r="N325" i="55"/>
  <c r="M325" i="55"/>
  <c r="V324" i="55"/>
  <c r="S324" i="55"/>
  <c r="P324" i="55"/>
  <c r="L324" i="55"/>
  <c r="V322" i="55"/>
  <c r="S322" i="55"/>
  <c r="S325" i="55" s="1"/>
  <c r="P322" i="55"/>
  <c r="L322" i="55"/>
  <c r="L325" i="55" s="1"/>
  <c r="I322" i="55"/>
  <c r="H322" i="55"/>
  <c r="X320" i="55"/>
  <c r="W320" i="55"/>
  <c r="U320" i="55"/>
  <c r="T320" i="55"/>
  <c r="R320" i="55"/>
  <c r="Q320" i="55"/>
  <c r="N320" i="55"/>
  <c r="M320" i="55"/>
  <c r="V319" i="55"/>
  <c r="S319" i="55"/>
  <c r="P319" i="55"/>
  <c r="L319" i="55"/>
  <c r="V317" i="55"/>
  <c r="O317" i="55" s="1"/>
  <c r="K317" i="55" s="1"/>
  <c r="S317" i="55"/>
  <c r="P317" i="55"/>
  <c r="P320" i="55" s="1"/>
  <c r="L317" i="55"/>
  <c r="L320" i="55" s="1"/>
  <c r="I317" i="55"/>
  <c r="H317" i="55"/>
  <c r="X315" i="55"/>
  <c r="W315" i="55"/>
  <c r="U315" i="55"/>
  <c r="T315" i="55"/>
  <c r="R315" i="55"/>
  <c r="Q315" i="55"/>
  <c r="N315" i="55"/>
  <c r="M315" i="55"/>
  <c r="V314" i="55"/>
  <c r="S314" i="55"/>
  <c r="P314" i="55"/>
  <c r="L314" i="55"/>
  <c r="V312" i="55"/>
  <c r="S312" i="55"/>
  <c r="S315" i="55" s="1"/>
  <c r="P312" i="55"/>
  <c r="L312" i="55"/>
  <c r="L315" i="55" s="1"/>
  <c r="I312" i="55"/>
  <c r="H312" i="55"/>
  <c r="X310" i="55"/>
  <c r="W310" i="55"/>
  <c r="U310" i="55"/>
  <c r="T310" i="55"/>
  <c r="R310" i="55"/>
  <c r="Q310" i="55"/>
  <c r="N310" i="55"/>
  <c r="M310" i="55"/>
  <c r="V309" i="55"/>
  <c r="S309" i="55"/>
  <c r="O309" i="55" s="1"/>
  <c r="P309" i="55"/>
  <c r="L309" i="55"/>
  <c r="V307" i="55"/>
  <c r="V310" i="55" s="1"/>
  <c r="S307" i="55"/>
  <c r="S310" i="55" s="1"/>
  <c r="P307" i="55"/>
  <c r="P310" i="55" s="1"/>
  <c r="L307" i="55"/>
  <c r="I307" i="55"/>
  <c r="H307" i="55"/>
  <c r="X305" i="55"/>
  <c r="W305" i="55"/>
  <c r="U305" i="55"/>
  <c r="T305" i="55"/>
  <c r="R305" i="55"/>
  <c r="Q305" i="55"/>
  <c r="N305" i="55"/>
  <c r="M305" i="55"/>
  <c r="V304" i="55"/>
  <c r="S304" i="55"/>
  <c r="P304" i="55"/>
  <c r="L304" i="55"/>
  <c r="V302" i="55"/>
  <c r="S302" i="55"/>
  <c r="S305" i="55" s="1"/>
  <c r="P302" i="55"/>
  <c r="L302" i="55"/>
  <c r="L305" i="55" s="1"/>
  <c r="I302" i="55"/>
  <c r="H302" i="55"/>
  <c r="X300" i="55"/>
  <c r="W300" i="55"/>
  <c r="U300" i="55"/>
  <c r="T300" i="55"/>
  <c r="R300" i="55"/>
  <c r="Q300" i="55"/>
  <c r="N300" i="55"/>
  <c r="M300" i="55"/>
  <c r="V299" i="55"/>
  <c r="S299" i="55"/>
  <c r="O299" i="55" s="1"/>
  <c r="K299" i="55" s="1"/>
  <c r="P299" i="55"/>
  <c r="L299" i="55"/>
  <c r="V297" i="55"/>
  <c r="S297" i="55"/>
  <c r="O297" i="55" s="1"/>
  <c r="K297" i="55" s="1"/>
  <c r="P297" i="55"/>
  <c r="P300" i="55" s="1"/>
  <c r="L297" i="55"/>
  <c r="L300" i="55" s="1"/>
  <c r="I297" i="55"/>
  <c r="H297" i="55"/>
  <c r="X295" i="55"/>
  <c r="W295" i="55"/>
  <c r="U295" i="55"/>
  <c r="T295" i="55"/>
  <c r="R295" i="55"/>
  <c r="Q295" i="55"/>
  <c r="N295" i="55"/>
  <c r="M295" i="55"/>
  <c r="V294" i="55"/>
  <c r="S294" i="55"/>
  <c r="P294" i="55"/>
  <c r="L294" i="55"/>
  <c r="V292" i="55"/>
  <c r="S292" i="55"/>
  <c r="S295" i="55" s="1"/>
  <c r="P292" i="55"/>
  <c r="L292" i="55"/>
  <c r="L295" i="55" s="1"/>
  <c r="I292" i="55"/>
  <c r="H292" i="55"/>
  <c r="X290" i="55"/>
  <c r="W290" i="55"/>
  <c r="U290" i="55"/>
  <c r="T290" i="55"/>
  <c r="R290" i="55"/>
  <c r="Q290" i="55"/>
  <c r="N290" i="55"/>
  <c r="M290" i="55"/>
  <c r="V289" i="55"/>
  <c r="S289" i="55"/>
  <c r="P289" i="55"/>
  <c r="L289" i="55"/>
  <c r="V287" i="55"/>
  <c r="V290" i="55" s="1"/>
  <c r="S287" i="55"/>
  <c r="S290" i="55" s="1"/>
  <c r="P287" i="55"/>
  <c r="P290" i="55" s="1"/>
  <c r="L287" i="55"/>
  <c r="I287" i="55"/>
  <c r="H287" i="55"/>
  <c r="X285" i="55"/>
  <c r="W285" i="55"/>
  <c r="U285" i="55"/>
  <c r="T285" i="55"/>
  <c r="R285" i="55"/>
  <c r="Q285" i="55"/>
  <c r="N285" i="55"/>
  <c r="M285" i="55"/>
  <c r="V284" i="55"/>
  <c r="V285" i="55" s="1"/>
  <c r="S284" i="55"/>
  <c r="P284" i="55"/>
  <c r="L284" i="55"/>
  <c r="V282" i="55"/>
  <c r="S282" i="55"/>
  <c r="S285" i="55" s="1"/>
  <c r="P282" i="55"/>
  <c r="L282" i="55"/>
  <c r="L285" i="55" s="1"/>
  <c r="I282" i="55"/>
  <c r="H282" i="55"/>
  <c r="X280" i="55"/>
  <c r="W280" i="55"/>
  <c r="U280" i="55"/>
  <c r="T280" i="55"/>
  <c r="R280" i="55"/>
  <c r="Q280" i="55"/>
  <c r="N280" i="55"/>
  <c r="M280" i="55"/>
  <c r="V279" i="55"/>
  <c r="S279" i="55"/>
  <c r="P279" i="55"/>
  <c r="L279" i="55"/>
  <c r="V277" i="55"/>
  <c r="S277" i="55"/>
  <c r="P277" i="55"/>
  <c r="L277" i="55"/>
  <c r="L280" i="55" s="1"/>
  <c r="I277" i="55"/>
  <c r="H277" i="55"/>
  <c r="X275" i="55"/>
  <c r="W275" i="55"/>
  <c r="U275" i="55"/>
  <c r="T275" i="55"/>
  <c r="R275" i="55"/>
  <c r="Q275" i="55"/>
  <c r="N275" i="55"/>
  <c r="M275" i="55"/>
  <c r="V274" i="55"/>
  <c r="S274" i="55"/>
  <c r="P274" i="55"/>
  <c r="L274" i="55"/>
  <c r="V272" i="55"/>
  <c r="S272" i="55"/>
  <c r="S275" i="55" s="1"/>
  <c r="P272" i="55"/>
  <c r="L272" i="55"/>
  <c r="L275" i="55" s="1"/>
  <c r="I272" i="55"/>
  <c r="H272" i="55"/>
  <c r="X270" i="55"/>
  <c r="W270" i="55"/>
  <c r="U270" i="55"/>
  <c r="T270" i="55"/>
  <c r="S270" i="55"/>
  <c r="R270" i="55"/>
  <c r="Q270" i="55"/>
  <c r="N270" i="55"/>
  <c r="M270" i="55"/>
  <c r="V269" i="55"/>
  <c r="S269" i="55"/>
  <c r="P269" i="55"/>
  <c r="L269" i="55"/>
  <c r="V267" i="55"/>
  <c r="V270" i="55" s="1"/>
  <c r="S267" i="55"/>
  <c r="P267" i="55"/>
  <c r="P270" i="55" s="1"/>
  <c r="L267" i="55"/>
  <c r="I267" i="55"/>
  <c r="H267" i="55"/>
  <c r="X265" i="55"/>
  <c r="W265" i="55"/>
  <c r="U265" i="55"/>
  <c r="T265" i="55"/>
  <c r="R265" i="55"/>
  <c r="Q265" i="55"/>
  <c r="N265" i="55"/>
  <c r="M265" i="55"/>
  <c r="V264" i="55"/>
  <c r="S264" i="55"/>
  <c r="P264" i="55"/>
  <c r="L264" i="55"/>
  <c r="V262" i="55"/>
  <c r="S262" i="55"/>
  <c r="S265" i="55" s="1"/>
  <c r="P262" i="55"/>
  <c r="L262" i="55"/>
  <c r="L265" i="55" s="1"/>
  <c r="I262" i="55"/>
  <c r="H262" i="55"/>
  <c r="X260" i="55"/>
  <c r="W260" i="55"/>
  <c r="U260" i="55"/>
  <c r="T260" i="55"/>
  <c r="R260" i="55"/>
  <c r="Q260" i="55"/>
  <c r="N260" i="55"/>
  <c r="M260" i="55"/>
  <c r="V259" i="55"/>
  <c r="S259" i="55"/>
  <c r="P259" i="55"/>
  <c r="L259" i="55"/>
  <c r="V257" i="55"/>
  <c r="S257" i="55"/>
  <c r="P257" i="55"/>
  <c r="P260" i="55" s="1"/>
  <c r="O257" i="55"/>
  <c r="K257" i="55" s="1"/>
  <c r="L257" i="55"/>
  <c r="I257" i="55"/>
  <c r="H257" i="55"/>
  <c r="X255" i="55"/>
  <c r="W255" i="55"/>
  <c r="U255" i="55"/>
  <c r="T255" i="55"/>
  <c r="R255" i="55"/>
  <c r="Q255" i="55"/>
  <c r="N255" i="55"/>
  <c r="M255" i="55"/>
  <c r="V254" i="55"/>
  <c r="S254" i="55"/>
  <c r="P254" i="55"/>
  <c r="L254" i="55"/>
  <c r="V252" i="55"/>
  <c r="S252" i="55"/>
  <c r="S255" i="55" s="1"/>
  <c r="P252" i="55"/>
  <c r="L252" i="55"/>
  <c r="L255" i="55" s="1"/>
  <c r="I252" i="55"/>
  <c r="H252" i="55"/>
  <c r="X250" i="55"/>
  <c r="W250" i="55"/>
  <c r="U250" i="55"/>
  <c r="T250" i="55"/>
  <c r="S250" i="55"/>
  <c r="R250" i="55"/>
  <c r="Q250" i="55"/>
  <c r="N250" i="55"/>
  <c r="M250" i="55"/>
  <c r="V249" i="55"/>
  <c r="S249" i="55"/>
  <c r="P249" i="55"/>
  <c r="L249" i="55"/>
  <c r="V247" i="55"/>
  <c r="V250" i="55" s="1"/>
  <c r="S247" i="55"/>
  <c r="P247" i="55"/>
  <c r="P250" i="55" s="1"/>
  <c r="L247" i="55"/>
  <c r="I247" i="55"/>
  <c r="H247" i="55"/>
  <c r="X245" i="55"/>
  <c r="W245" i="55"/>
  <c r="U245" i="55"/>
  <c r="T245" i="55"/>
  <c r="R245" i="55"/>
  <c r="Q245" i="55"/>
  <c r="N245" i="55"/>
  <c r="M245" i="55"/>
  <c r="V244" i="55"/>
  <c r="S244" i="55"/>
  <c r="P244" i="55"/>
  <c r="L244" i="55"/>
  <c r="V242" i="55"/>
  <c r="S242" i="55"/>
  <c r="S245" i="55" s="1"/>
  <c r="P242" i="55"/>
  <c r="L242" i="55"/>
  <c r="L245" i="55" s="1"/>
  <c r="I242" i="55"/>
  <c r="H242" i="55"/>
  <c r="X240" i="55"/>
  <c r="W240" i="55"/>
  <c r="U240" i="55"/>
  <c r="T240" i="55"/>
  <c r="R240" i="55"/>
  <c r="Q240" i="55"/>
  <c r="N240" i="55"/>
  <c r="M240" i="55"/>
  <c r="V239" i="55"/>
  <c r="S239" i="55"/>
  <c r="P239" i="55"/>
  <c r="L239" i="55"/>
  <c r="V237" i="55"/>
  <c r="O237" i="55" s="1"/>
  <c r="K237" i="55" s="1"/>
  <c r="S237" i="55"/>
  <c r="P237" i="55"/>
  <c r="P240" i="55" s="1"/>
  <c r="L237" i="55"/>
  <c r="L240" i="55" s="1"/>
  <c r="I237" i="55"/>
  <c r="H237" i="55"/>
  <c r="X235" i="55"/>
  <c r="W235" i="55"/>
  <c r="U235" i="55"/>
  <c r="T235" i="55"/>
  <c r="R235" i="55"/>
  <c r="Q235" i="55"/>
  <c r="N235" i="55"/>
  <c r="M235" i="55"/>
  <c r="V234" i="55"/>
  <c r="S234" i="55"/>
  <c r="P234" i="55"/>
  <c r="L234" i="55"/>
  <c r="V232" i="55"/>
  <c r="S232" i="55"/>
  <c r="S235" i="55" s="1"/>
  <c r="P232" i="55"/>
  <c r="L232" i="55"/>
  <c r="L235" i="55" s="1"/>
  <c r="I232" i="55"/>
  <c r="H232" i="55"/>
  <c r="X230" i="55"/>
  <c r="W230" i="55"/>
  <c r="U230" i="55"/>
  <c r="T230" i="55"/>
  <c r="R230" i="55"/>
  <c r="Q230" i="55"/>
  <c r="N230" i="55"/>
  <c r="M230" i="55"/>
  <c r="V229" i="55"/>
  <c r="S229" i="55"/>
  <c r="O229" i="55" s="1"/>
  <c r="P229" i="55"/>
  <c r="L229" i="55"/>
  <c r="V227" i="55"/>
  <c r="V230" i="55" s="1"/>
  <c r="S227" i="55"/>
  <c r="S230" i="55" s="1"/>
  <c r="P227" i="55"/>
  <c r="P230" i="55" s="1"/>
  <c r="L227" i="55"/>
  <c r="I227" i="55"/>
  <c r="H227" i="55"/>
  <c r="X225" i="55"/>
  <c r="W225" i="55"/>
  <c r="U225" i="55"/>
  <c r="T225" i="55"/>
  <c r="R225" i="55"/>
  <c r="Q225" i="55"/>
  <c r="N225" i="55"/>
  <c r="M225" i="55"/>
  <c r="V224" i="55"/>
  <c r="S224" i="55"/>
  <c r="P224" i="55"/>
  <c r="L224" i="55"/>
  <c r="V222" i="55"/>
  <c r="S222" i="55"/>
  <c r="S225" i="55" s="1"/>
  <c r="P222" i="55"/>
  <c r="L222" i="55"/>
  <c r="L225" i="55" s="1"/>
  <c r="I222" i="55"/>
  <c r="H222" i="55"/>
  <c r="X220" i="55"/>
  <c r="W220" i="55"/>
  <c r="U220" i="55"/>
  <c r="T220" i="55"/>
  <c r="R220" i="55"/>
  <c r="Q220" i="55"/>
  <c r="N220" i="55"/>
  <c r="M220" i="55"/>
  <c r="V219" i="55"/>
  <c r="S219" i="55"/>
  <c r="O219" i="55" s="1"/>
  <c r="K219" i="55" s="1"/>
  <c r="P219" i="55"/>
  <c r="L219" i="55"/>
  <c r="V217" i="55"/>
  <c r="S217" i="55"/>
  <c r="O217" i="55" s="1"/>
  <c r="K217" i="55" s="1"/>
  <c r="P217" i="55"/>
  <c r="P220" i="55" s="1"/>
  <c r="L217" i="55"/>
  <c r="L220" i="55" s="1"/>
  <c r="I217" i="55"/>
  <c r="H217" i="55"/>
  <c r="X215" i="55"/>
  <c r="W215" i="55"/>
  <c r="U215" i="55"/>
  <c r="T215" i="55"/>
  <c r="R215" i="55"/>
  <c r="Q215" i="55"/>
  <c r="N215" i="55"/>
  <c r="M215" i="55"/>
  <c r="V214" i="55"/>
  <c r="S214" i="55"/>
  <c r="P214" i="55"/>
  <c r="L214" i="55"/>
  <c r="V212" i="55"/>
  <c r="S212" i="55"/>
  <c r="S215" i="55" s="1"/>
  <c r="P212" i="55"/>
  <c r="L212" i="55"/>
  <c r="L215" i="55" s="1"/>
  <c r="I212" i="55"/>
  <c r="H212" i="55"/>
  <c r="X210" i="55"/>
  <c r="W210" i="55"/>
  <c r="U210" i="55"/>
  <c r="T210" i="55"/>
  <c r="R210" i="55"/>
  <c r="Q210" i="55"/>
  <c r="N210" i="55"/>
  <c r="M210" i="55"/>
  <c r="V209" i="55"/>
  <c r="S209" i="55"/>
  <c r="P209" i="55"/>
  <c r="L209" i="55"/>
  <c r="V207" i="55"/>
  <c r="V210" i="55" s="1"/>
  <c r="S207" i="55"/>
  <c r="S210" i="55" s="1"/>
  <c r="P207" i="55"/>
  <c r="P210" i="55" s="1"/>
  <c r="L207" i="55"/>
  <c r="I207" i="55"/>
  <c r="H207" i="55"/>
  <c r="X205" i="55"/>
  <c r="W205" i="55"/>
  <c r="U205" i="55"/>
  <c r="T205" i="55"/>
  <c r="R205" i="55"/>
  <c r="Q205" i="55"/>
  <c r="N205" i="55"/>
  <c r="M205" i="55"/>
  <c r="V204" i="55"/>
  <c r="V205" i="55" s="1"/>
  <c r="S204" i="55"/>
  <c r="P204" i="55"/>
  <c r="L204" i="55"/>
  <c r="V202" i="55"/>
  <c r="S202" i="55"/>
  <c r="S205" i="55" s="1"/>
  <c r="P202" i="55"/>
  <c r="L202" i="55"/>
  <c r="L205" i="55" s="1"/>
  <c r="I202" i="55"/>
  <c r="H202" i="55"/>
  <c r="X200" i="55"/>
  <c r="W200" i="55"/>
  <c r="U200" i="55"/>
  <c r="T200" i="55"/>
  <c r="R200" i="55"/>
  <c r="Q200" i="55"/>
  <c r="N200" i="55"/>
  <c r="M200" i="55"/>
  <c r="V199" i="55"/>
  <c r="S199" i="55"/>
  <c r="P199" i="55"/>
  <c r="L199" i="55"/>
  <c r="V197" i="55"/>
  <c r="S197" i="55"/>
  <c r="P197" i="55"/>
  <c r="L197" i="55"/>
  <c r="L200" i="55" s="1"/>
  <c r="I197" i="55"/>
  <c r="H197" i="55"/>
  <c r="X195" i="55"/>
  <c r="W195" i="55"/>
  <c r="U195" i="55"/>
  <c r="T195" i="55"/>
  <c r="R195" i="55"/>
  <c r="Q195" i="55"/>
  <c r="N195" i="55"/>
  <c r="M195" i="55"/>
  <c r="V194" i="55"/>
  <c r="S194" i="55"/>
  <c r="P194" i="55"/>
  <c r="L194" i="55"/>
  <c r="V192" i="55"/>
  <c r="S192" i="55"/>
  <c r="S195" i="55" s="1"/>
  <c r="P192" i="55"/>
  <c r="L192" i="55"/>
  <c r="L195" i="55" s="1"/>
  <c r="I192" i="55"/>
  <c r="H192" i="55"/>
  <c r="X190" i="55"/>
  <c r="W190" i="55"/>
  <c r="U190" i="55"/>
  <c r="T190" i="55"/>
  <c r="S190" i="55"/>
  <c r="R190" i="55"/>
  <c r="Q190" i="55"/>
  <c r="N190" i="55"/>
  <c r="M190" i="55"/>
  <c r="V189" i="55"/>
  <c r="S189" i="55"/>
  <c r="P189" i="55"/>
  <c r="L189" i="55"/>
  <c r="V187" i="55"/>
  <c r="V190" i="55" s="1"/>
  <c r="S187" i="55"/>
  <c r="P187" i="55"/>
  <c r="P190" i="55" s="1"/>
  <c r="L187" i="55"/>
  <c r="I187" i="55"/>
  <c r="H187" i="55"/>
  <c r="X185" i="55"/>
  <c r="W185" i="55"/>
  <c r="U185" i="55"/>
  <c r="T185" i="55"/>
  <c r="R185" i="55"/>
  <c r="Q185" i="55"/>
  <c r="N185" i="55"/>
  <c r="M185" i="55"/>
  <c r="V184" i="55"/>
  <c r="S184" i="55"/>
  <c r="P184" i="55"/>
  <c r="L184" i="55"/>
  <c r="V182" i="55"/>
  <c r="S182" i="55"/>
  <c r="S185" i="55" s="1"/>
  <c r="P182" i="55"/>
  <c r="L182" i="55"/>
  <c r="L185" i="55" s="1"/>
  <c r="I182" i="55"/>
  <c r="H182" i="55"/>
  <c r="X180" i="55"/>
  <c r="W180" i="55"/>
  <c r="U180" i="55"/>
  <c r="T180" i="55"/>
  <c r="R180" i="55"/>
  <c r="Q180" i="55"/>
  <c r="N180" i="55"/>
  <c r="M180" i="55"/>
  <c r="V179" i="55"/>
  <c r="S179" i="55"/>
  <c r="P179" i="55"/>
  <c r="L179" i="55"/>
  <c r="V177" i="55"/>
  <c r="S177" i="55"/>
  <c r="P177" i="55"/>
  <c r="P180" i="55" s="1"/>
  <c r="O177" i="55"/>
  <c r="K177" i="55" s="1"/>
  <c r="L177" i="55"/>
  <c r="I177" i="55"/>
  <c r="H177" i="55"/>
  <c r="X175" i="55"/>
  <c r="W175" i="55"/>
  <c r="U175" i="55"/>
  <c r="T175" i="55"/>
  <c r="R175" i="55"/>
  <c r="Q175" i="55"/>
  <c r="N175" i="55"/>
  <c r="M175" i="55"/>
  <c r="V174" i="55"/>
  <c r="S174" i="55"/>
  <c r="P174" i="55"/>
  <c r="L174" i="55"/>
  <c r="V172" i="55"/>
  <c r="S172" i="55"/>
  <c r="S175" i="55" s="1"/>
  <c r="P172" i="55"/>
  <c r="L172" i="55"/>
  <c r="L175" i="55" s="1"/>
  <c r="I172" i="55"/>
  <c r="H172" i="55"/>
  <c r="X170" i="55"/>
  <c r="W170" i="55"/>
  <c r="U170" i="55"/>
  <c r="T170" i="55"/>
  <c r="S170" i="55"/>
  <c r="R170" i="55"/>
  <c r="Q170" i="55"/>
  <c r="N170" i="55"/>
  <c r="M170" i="55"/>
  <c r="V169" i="55"/>
  <c r="S169" i="55"/>
  <c r="P169" i="55"/>
  <c r="L169" i="55"/>
  <c r="V167" i="55"/>
  <c r="V170" i="55" s="1"/>
  <c r="S167" i="55"/>
  <c r="P167" i="55"/>
  <c r="P170" i="55" s="1"/>
  <c r="L167" i="55"/>
  <c r="I167" i="55"/>
  <c r="H167" i="55"/>
  <c r="X165" i="55"/>
  <c r="W165" i="55"/>
  <c r="U165" i="55"/>
  <c r="T165" i="55"/>
  <c r="R165" i="55"/>
  <c r="Q165" i="55"/>
  <c r="N165" i="55"/>
  <c r="M165" i="55"/>
  <c r="V164" i="55"/>
  <c r="S164" i="55"/>
  <c r="P164" i="55"/>
  <c r="L164" i="55"/>
  <c r="V162" i="55"/>
  <c r="S162" i="55"/>
  <c r="S165" i="55" s="1"/>
  <c r="P162" i="55"/>
  <c r="L162" i="55"/>
  <c r="L165" i="55" s="1"/>
  <c r="I162" i="55"/>
  <c r="H162" i="55"/>
  <c r="X160" i="55"/>
  <c r="W160" i="55"/>
  <c r="U160" i="55"/>
  <c r="T160" i="55"/>
  <c r="R160" i="55"/>
  <c r="Q160" i="55"/>
  <c r="N160" i="55"/>
  <c r="M160" i="55"/>
  <c r="V159" i="55"/>
  <c r="S159" i="55"/>
  <c r="P159" i="55"/>
  <c r="O159" i="55" s="1"/>
  <c r="L159" i="55"/>
  <c r="V157" i="55"/>
  <c r="V160" i="55" s="1"/>
  <c r="S157" i="55"/>
  <c r="S160" i="55" s="1"/>
  <c r="P157" i="55"/>
  <c r="L157" i="55"/>
  <c r="L160" i="55" s="1"/>
  <c r="I157" i="55"/>
  <c r="H157" i="55"/>
  <c r="X155" i="55"/>
  <c r="W155" i="55"/>
  <c r="U155" i="55"/>
  <c r="T155" i="55"/>
  <c r="S155" i="55"/>
  <c r="R155" i="55"/>
  <c r="Q155" i="55"/>
  <c r="N155" i="55"/>
  <c r="M155" i="55"/>
  <c r="V154" i="55"/>
  <c r="O154" i="55" s="1"/>
  <c r="S154" i="55"/>
  <c r="P154" i="55"/>
  <c r="L154" i="55"/>
  <c r="V152" i="55"/>
  <c r="S152" i="55"/>
  <c r="P152" i="55"/>
  <c r="L152" i="55"/>
  <c r="I152" i="55"/>
  <c r="H152" i="55"/>
  <c r="X150" i="55"/>
  <c r="W150" i="55"/>
  <c r="U150" i="55"/>
  <c r="T150" i="55"/>
  <c r="R150" i="55"/>
  <c r="Q150" i="55"/>
  <c r="N150" i="55"/>
  <c r="M150" i="55"/>
  <c r="V149" i="55"/>
  <c r="S149" i="55"/>
  <c r="P149" i="55"/>
  <c r="L149" i="55"/>
  <c r="V147" i="55"/>
  <c r="V150" i="55" s="1"/>
  <c r="S147" i="55"/>
  <c r="S150" i="55" s="1"/>
  <c r="P147" i="55"/>
  <c r="L147" i="55"/>
  <c r="L150" i="55" s="1"/>
  <c r="I147" i="55"/>
  <c r="H147" i="55"/>
  <c r="X145" i="55"/>
  <c r="W145" i="55"/>
  <c r="U145" i="55"/>
  <c r="T145" i="55"/>
  <c r="R145" i="55"/>
  <c r="Q145" i="55"/>
  <c r="N145" i="55"/>
  <c r="M145" i="55"/>
  <c r="V144" i="55"/>
  <c r="S144" i="55"/>
  <c r="P144" i="55"/>
  <c r="L144" i="55"/>
  <c r="V142" i="55"/>
  <c r="S142" i="55"/>
  <c r="S145" i="55" s="1"/>
  <c r="P142" i="55"/>
  <c r="O142" i="55" s="1"/>
  <c r="L142" i="55"/>
  <c r="I142" i="55"/>
  <c r="H142" i="55"/>
  <c r="X140" i="55"/>
  <c r="W140" i="55"/>
  <c r="U140" i="55"/>
  <c r="T140" i="55"/>
  <c r="R140" i="55"/>
  <c r="Q140" i="55"/>
  <c r="N140" i="55"/>
  <c r="M140" i="55"/>
  <c r="V139" i="55"/>
  <c r="S139" i="55"/>
  <c r="P139" i="55"/>
  <c r="O139" i="55" s="1"/>
  <c r="L139" i="55"/>
  <c r="V137" i="55"/>
  <c r="V140" i="55" s="1"/>
  <c r="S137" i="55"/>
  <c r="S140" i="55" s="1"/>
  <c r="P137" i="55"/>
  <c r="L137" i="55"/>
  <c r="L140" i="55" s="1"/>
  <c r="I137" i="55"/>
  <c r="H137" i="55"/>
  <c r="X135" i="55"/>
  <c r="W135" i="55"/>
  <c r="U135" i="55"/>
  <c r="T135" i="55"/>
  <c r="S135" i="55"/>
  <c r="R135" i="55"/>
  <c r="Q135" i="55"/>
  <c r="N135" i="55"/>
  <c r="M135" i="55"/>
  <c r="V134" i="55"/>
  <c r="O134" i="55" s="1"/>
  <c r="S134" i="55"/>
  <c r="P134" i="55"/>
  <c r="L134" i="55"/>
  <c r="V132" i="55"/>
  <c r="S132" i="55"/>
  <c r="P132" i="55"/>
  <c r="L132" i="55"/>
  <c r="I132" i="55"/>
  <c r="H132" i="55"/>
  <c r="X130" i="55"/>
  <c r="W130" i="55"/>
  <c r="U130" i="55"/>
  <c r="T130" i="55"/>
  <c r="R130" i="55"/>
  <c r="Q130" i="55"/>
  <c r="N130" i="55"/>
  <c r="M130" i="55"/>
  <c r="V129" i="55"/>
  <c r="S129" i="55"/>
  <c r="P129" i="55"/>
  <c r="L129" i="55"/>
  <c r="V127" i="55"/>
  <c r="V130" i="55" s="1"/>
  <c r="S127" i="55"/>
  <c r="S130" i="55" s="1"/>
  <c r="P127" i="55"/>
  <c r="L127" i="55"/>
  <c r="L130" i="55" s="1"/>
  <c r="I127" i="55"/>
  <c r="H127" i="55"/>
  <c r="X125" i="55"/>
  <c r="W125" i="55"/>
  <c r="U125" i="55"/>
  <c r="T125" i="55"/>
  <c r="R125" i="55"/>
  <c r="Q125" i="55"/>
  <c r="N125" i="55"/>
  <c r="M125" i="55"/>
  <c r="V124" i="55"/>
  <c r="S124" i="55"/>
  <c r="P124" i="55"/>
  <c r="L124" i="55"/>
  <c r="V122" i="55"/>
  <c r="S122" i="55"/>
  <c r="S125" i="55" s="1"/>
  <c r="P122" i="55"/>
  <c r="O122" i="55" s="1"/>
  <c r="L122" i="55"/>
  <c r="I122" i="55"/>
  <c r="H122" i="55"/>
  <c r="X120" i="55"/>
  <c r="W120" i="55"/>
  <c r="U120" i="55"/>
  <c r="T120" i="55"/>
  <c r="R120" i="55"/>
  <c r="Q120" i="55"/>
  <c r="N120" i="55"/>
  <c r="M120" i="55"/>
  <c r="V119" i="55"/>
  <c r="S119" i="55"/>
  <c r="P119" i="55"/>
  <c r="O119" i="55" s="1"/>
  <c r="L119" i="55"/>
  <c r="V117" i="55"/>
  <c r="V120" i="55" s="1"/>
  <c r="S117" i="55"/>
  <c r="S120" i="55" s="1"/>
  <c r="P117" i="55"/>
  <c r="L117" i="55"/>
  <c r="L120" i="55" s="1"/>
  <c r="I117" i="55"/>
  <c r="H117" i="55"/>
  <c r="X115" i="55"/>
  <c r="W115" i="55"/>
  <c r="U115" i="55"/>
  <c r="T115" i="55"/>
  <c r="S115" i="55"/>
  <c r="R115" i="55"/>
  <c r="Q115" i="55"/>
  <c r="N115" i="55"/>
  <c r="M115" i="55"/>
  <c r="V114" i="55"/>
  <c r="O114" i="55" s="1"/>
  <c r="S114" i="55"/>
  <c r="P114" i="55"/>
  <c r="L114" i="55"/>
  <c r="V112" i="55"/>
  <c r="S112" i="55"/>
  <c r="P112" i="55"/>
  <c r="L112" i="55"/>
  <c r="I112" i="55"/>
  <c r="H112" i="55"/>
  <c r="X110" i="55"/>
  <c r="W110" i="55"/>
  <c r="U110" i="55"/>
  <c r="T110" i="55"/>
  <c r="R110" i="55"/>
  <c r="Q110" i="55"/>
  <c r="N110" i="55"/>
  <c r="M110" i="55"/>
  <c r="V109" i="55"/>
  <c r="S109" i="55"/>
  <c r="P109" i="55"/>
  <c r="L109" i="55"/>
  <c r="V107" i="55"/>
  <c r="V110" i="55" s="1"/>
  <c r="S107" i="55"/>
  <c r="S110" i="55" s="1"/>
  <c r="P107" i="55"/>
  <c r="L107" i="55"/>
  <c r="L110" i="55" s="1"/>
  <c r="I107" i="55"/>
  <c r="H107" i="55"/>
  <c r="X105" i="55"/>
  <c r="W105" i="55"/>
  <c r="U105" i="55"/>
  <c r="T105" i="55"/>
  <c r="R105" i="55"/>
  <c r="Q105" i="55"/>
  <c r="N105" i="55"/>
  <c r="M105" i="55"/>
  <c r="V104" i="55"/>
  <c r="S104" i="55"/>
  <c r="P104" i="55"/>
  <c r="L104" i="55"/>
  <c r="V102" i="55"/>
  <c r="S102" i="55"/>
  <c r="S105" i="55" s="1"/>
  <c r="P102" i="55"/>
  <c r="O102" i="55" s="1"/>
  <c r="L102" i="55"/>
  <c r="I102" i="55"/>
  <c r="H102" i="55"/>
  <c r="X100" i="55"/>
  <c r="W100" i="55"/>
  <c r="U100" i="55"/>
  <c r="T100" i="55"/>
  <c r="R100" i="55"/>
  <c r="Q100" i="55"/>
  <c r="N100" i="55"/>
  <c r="M100" i="55"/>
  <c r="V99" i="55"/>
  <c r="S99" i="55"/>
  <c r="P99" i="55"/>
  <c r="O99" i="55" s="1"/>
  <c r="L99" i="55"/>
  <c r="V97" i="55"/>
  <c r="V100" i="55" s="1"/>
  <c r="S97" i="55"/>
  <c r="S100" i="55" s="1"/>
  <c r="P97" i="55"/>
  <c r="L97" i="55"/>
  <c r="L100" i="55" s="1"/>
  <c r="I97" i="55"/>
  <c r="H97" i="55"/>
  <c r="X95" i="55"/>
  <c r="W95" i="55"/>
  <c r="U95" i="55"/>
  <c r="T95" i="55"/>
  <c r="S95" i="55"/>
  <c r="R95" i="55"/>
  <c r="Q95" i="55"/>
  <c r="N95" i="55"/>
  <c r="M95" i="55"/>
  <c r="V94" i="55"/>
  <c r="O94" i="55" s="1"/>
  <c r="S94" i="55"/>
  <c r="P94" i="55"/>
  <c r="L94" i="55"/>
  <c r="V92" i="55"/>
  <c r="S92" i="55"/>
  <c r="P92" i="55"/>
  <c r="L92" i="55"/>
  <c r="I92" i="55"/>
  <c r="H92" i="55"/>
  <c r="X90" i="55"/>
  <c r="W90" i="55"/>
  <c r="U90" i="55"/>
  <c r="T90" i="55"/>
  <c r="R90" i="55"/>
  <c r="Q90" i="55"/>
  <c r="N90" i="55"/>
  <c r="M90" i="55"/>
  <c r="V89" i="55"/>
  <c r="S89" i="55"/>
  <c r="P89" i="55"/>
  <c r="L89" i="55"/>
  <c r="V87" i="55"/>
  <c r="V90" i="55" s="1"/>
  <c r="S87" i="55"/>
  <c r="S90" i="55" s="1"/>
  <c r="P87" i="55"/>
  <c r="L87" i="55"/>
  <c r="L90" i="55" s="1"/>
  <c r="I87" i="55"/>
  <c r="H87" i="55"/>
  <c r="X85" i="55"/>
  <c r="W85" i="55"/>
  <c r="U85" i="55"/>
  <c r="T85" i="55"/>
  <c r="R85" i="55"/>
  <c r="Q85" i="55"/>
  <c r="N85" i="55"/>
  <c r="M85" i="55"/>
  <c r="V84" i="55"/>
  <c r="S84" i="55"/>
  <c r="P84" i="55"/>
  <c r="L84" i="55"/>
  <c r="V82" i="55"/>
  <c r="S82" i="55"/>
  <c r="S85" i="55" s="1"/>
  <c r="P82" i="55"/>
  <c r="O82" i="55" s="1"/>
  <c r="L82" i="55"/>
  <c r="I82" i="55"/>
  <c r="H82" i="55"/>
  <c r="X80" i="55"/>
  <c r="W80" i="55"/>
  <c r="U80" i="55"/>
  <c r="T80" i="55"/>
  <c r="R80" i="55"/>
  <c r="Q80" i="55"/>
  <c r="N80" i="55"/>
  <c r="M80" i="55"/>
  <c r="V79" i="55"/>
  <c r="S79" i="55"/>
  <c r="P79" i="55"/>
  <c r="O79" i="55" s="1"/>
  <c r="L79" i="55"/>
  <c r="V77" i="55"/>
  <c r="V80" i="55" s="1"/>
  <c r="S77" i="55"/>
  <c r="S80" i="55" s="1"/>
  <c r="P77" i="55"/>
  <c r="L77" i="55"/>
  <c r="L80" i="55" s="1"/>
  <c r="I77" i="55"/>
  <c r="H77" i="55"/>
  <c r="X75" i="55"/>
  <c r="W75" i="55"/>
  <c r="U75" i="55"/>
  <c r="T75" i="55"/>
  <c r="S75" i="55"/>
  <c r="R75" i="55"/>
  <c r="Q75" i="55"/>
  <c r="N75" i="55"/>
  <c r="M75" i="55"/>
  <c r="V74" i="55"/>
  <c r="O74" i="55" s="1"/>
  <c r="S74" i="55"/>
  <c r="P74" i="55"/>
  <c r="L74" i="55"/>
  <c r="V72" i="55"/>
  <c r="S72" i="55"/>
  <c r="P72" i="55"/>
  <c r="L72" i="55"/>
  <c r="I72" i="55"/>
  <c r="H72" i="55"/>
  <c r="X70" i="55"/>
  <c r="W70" i="55"/>
  <c r="U70" i="55"/>
  <c r="T70" i="55"/>
  <c r="R70" i="55"/>
  <c r="Q70" i="55"/>
  <c r="N70" i="55"/>
  <c r="M70" i="55"/>
  <c r="V69" i="55"/>
  <c r="S69" i="55"/>
  <c r="P69" i="55"/>
  <c r="L69" i="55"/>
  <c r="V67" i="55"/>
  <c r="V70" i="55" s="1"/>
  <c r="S67" i="55"/>
  <c r="S70" i="55" s="1"/>
  <c r="P67" i="55"/>
  <c r="L67" i="55"/>
  <c r="L70" i="55" s="1"/>
  <c r="I67" i="55"/>
  <c r="H67" i="55"/>
  <c r="X65" i="55"/>
  <c r="W65" i="55"/>
  <c r="U65" i="55"/>
  <c r="T65" i="55"/>
  <c r="R65" i="55"/>
  <c r="Q65" i="55"/>
  <c r="N65" i="55"/>
  <c r="M65" i="55"/>
  <c r="V64" i="55"/>
  <c r="S64" i="55"/>
  <c r="P64" i="55"/>
  <c r="L64" i="55"/>
  <c r="V62" i="55"/>
  <c r="S62" i="55"/>
  <c r="S65" i="55" s="1"/>
  <c r="P62" i="55"/>
  <c r="O62" i="55" s="1"/>
  <c r="L62" i="55"/>
  <c r="I62" i="55"/>
  <c r="H62" i="55"/>
  <c r="X60" i="55"/>
  <c r="W60" i="55"/>
  <c r="U60" i="55"/>
  <c r="T60" i="55"/>
  <c r="R60" i="55"/>
  <c r="Q60" i="55"/>
  <c r="N60" i="55"/>
  <c r="M60" i="55"/>
  <c r="V59" i="55"/>
  <c r="S59" i="55"/>
  <c r="P59" i="55"/>
  <c r="O59" i="55" s="1"/>
  <c r="L59" i="55"/>
  <c r="V57" i="55"/>
  <c r="V60" i="55" s="1"/>
  <c r="S57" i="55"/>
  <c r="S60" i="55" s="1"/>
  <c r="P57" i="55"/>
  <c r="L57" i="55"/>
  <c r="L60" i="55" s="1"/>
  <c r="I57" i="55"/>
  <c r="H57" i="55"/>
  <c r="X55" i="55"/>
  <c r="W55" i="55"/>
  <c r="U55" i="55"/>
  <c r="T55" i="55"/>
  <c r="S55" i="55"/>
  <c r="R55" i="55"/>
  <c r="Q55" i="55"/>
  <c r="N55" i="55"/>
  <c r="M55" i="55"/>
  <c r="V54" i="55"/>
  <c r="O54" i="55" s="1"/>
  <c r="S54" i="55"/>
  <c r="P54" i="55"/>
  <c r="L54" i="55"/>
  <c r="V52" i="55"/>
  <c r="S52" i="55"/>
  <c r="P52" i="55"/>
  <c r="L52" i="55"/>
  <c r="I52" i="55"/>
  <c r="H52" i="55"/>
  <c r="X50" i="55"/>
  <c r="W50" i="55"/>
  <c r="U50" i="55"/>
  <c r="T50" i="55"/>
  <c r="R50" i="55"/>
  <c r="Q50" i="55"/>
  <c r="N50" i="55"/>
  <c r="M50" i="55"/>
  <c r="V49" i="55"/>
  <c r="S49" i="55"/>
  <c r="P49" i="55"/>
  <c r="L49" i="55"/>
  <c r="V47" i="55"/>
  <c r="V50" i="55" s="1"/>
  <c r="S47" i="55"/>
  <c r="P47" i="55"/>
  <c r="L47" i="55"/>
  <c r="L50" i="55" s="1"/>
  <c r="I47" i="55"/>
  <c r="H47" i="55"/>
  <c r="X45" i="55"/>
  <c r="W45" i="55"/>
  <c r="U45" i="55"/>
  <c r="T45" i="55"/>
  <c r="R45" i="55"/>
  <c r="Q45" i="55"/>
  <c r="N45" i="55"/>
  <c r="M45" i="55"/>
  <c r="V44" i="55"/>
  <c r="S44" i="55"/>
  <c r="P44" i="55"/>
  <c r="L44" i="55"/>
  <c r="V42" i="55"/>
  <c r="S42" i="55"/>
  <c r="S45" i="55" s="1"/>
  <c r="P42" i="55"/>
  <c r="O42" i="55" s="1"/>
  <c r="L42" i="55"/>
  <c r="I42" i="55"/>
  <c r="H42" i="55"/>
  <c r="X40" i="55"/>
  <c r="W40" i="55"/>
  <c r="U40" i="55"/>
  <c r="T40" i="55"/>
  <c r="R40" i="55"/>
  <c r="Q40" i="55"/>
  <c r="N40" i="55"/>
  <c r="M40" i="55"/>
  <c r="V39" i="55"/>
  <c r="S39" i="55"/>
  <c r="P39" i="55"/>
  <c r="O39" i="55" s="1"/>
  <c r="L39" i="55"/>
  <c r="V37" i="55"/>
  <c r="V40" i="55" s="1"/>
  <c r="S37" i="55"/>
  <c r="S40" i="55" s="1"/>
  <c r="P37" i="55"/>
  <c r="L37" i="55"/>
  <c r="L40" i="55" s="1"/>
  <c r="I37" i="55"/>
  <c r="H37" i="55"/>
  <c r="X35" i="55"/>
  <c r="W35" i="55"/>
  <c r="U35" i="55"/>
  <c r="T35" i="55"/>
  <c r="S35" i="55"/>
  <c r="R35" i="55"/>
  <c r="Q35" i="55"/>
  <c r="N35" i="55"/>
  <c r="M35" i="55"/>
  <c r="V34" i="55"/>
  <c r="O34" i="55" s="1"/>
  <c r="S34" i="55"/>
  <c r="P34" i="55"/>
  <c r="L34" i="55"/>
  <c r="V32" i="55"/>
  <c r="S32" i="55"/>
  <c r="P32" i="55"/>
  <c r="L32" i="55"/>
  <c r="I32" i="55"/>
  <c r="H32" i="55"/>
  <c r="X30" i="55"/>
  <c r="W30" i="55"/>
  <c r="U30" i="55"/>
  <c r="T30" i="55"/>
  <c r="R30" i="55"/>
  <c r="Q30" i="55"/>
  <c r="N30" i="55"/>
  <c r="M30" i="55"/>
  <c r="V29" i="55"/>
  <c r="S29" i="55"/>
  <c r="P29" i="55"/>
  <c r="L29" i="55"/>
  <c r="V27" i="55"/>
  <c r="V30" i="55" s="1"/>
  <c r="S27" i="55"/>
  <c r="S30" i="55" s="1"/>
  <c r="P27" i="55"/>
  <c r="L27" i="55"/>
  <c r="L30" i="55" s="1"/>
  <c r="I27" i="55"/>
  <c r="H27" i="55"/>
  <c r="X25" i="55"/>
  <c r="W25" i="55"/>
  <c r="U25" i="55"/>
  <c r="T25" i="55"/>
  <c r="R25" i="55"/>
  <c r="Q25" i="55"/>
  <c r="N25" i="55"/>
  <c r="M25" i="55"/>
  <c r="V24" i="55"/>
  <c r="S24" i="55"/>
  <c r="P24" i="55"/>
  <c r="L24" i="55"/>
  <c r="V22" i="55"/>
  <c r="S22" i="55"/>
  <c r="S25" i="55" s="1"/>
  <c r="P22" i="55"/>
  <c r="O22" i="55" s="1"/>
  <c r="L22" i="55"/>
  <c r="I22" i="55"/>
  <c r="H22" i="55"/>
  <c r="X20" i="55"/>
  <c r="W20" i="55"/>
  <c r="U20" i="55"/>
  <c r="T20" i="55"/>
  <c r="R20" i="55"/>
  <c r="Q20" i="55"/>
  <c r="N20" i="55"/>
  <c r="M20" i="55"/>
  <c r="V19" i="55"/>
  <c r="S19" i="55"/>
  <c r="P19" i="55"/>
  <c r="O19" i="55" s="1"/>
  <c r="L19" i="55"/>
  <c r="V17" i="55"/>
  <c r="V20" i="55" s="1"/>
  <c r="S17" i="55"/>
  <c r="S20" i="55" s="1"/>
  <c r="P17" i="55"/>
  <c r="L17" i="55"/>
  <c r="L20" i="55" s="1"/>
  <c r="I17" i="55"/>
  <c r="H17" i="55"/>
  <c r="S50" i="55" l="1"/>
  <c r="V380" i="55"/>
  <c r="V368" i="55"/>
  <c r="V175" i="55"/>
  <c r="V240" i="55"/>
  <c r="V255" i="55"/>
  <c r="V320" i="55"/>
  <c r="V335" i="55"/>
  <c r="V358" i="55"/>
  <c r="P200" i="55"/>
  <c r="O197" i="55"/>
  <c r="K197" i="55" s="1"/>
  <c r="P280" i="55"/>
  <c r="O277" i="55"/>
  <c r="K277" i="55" s="1"/>
  <c r="V185" i="55"/>
  <c r="O199" i="55"/>
  <c r="K199" i="55" s="1"/>
  <c r="O209" i="55"/>
  <c r="V220" i="55"/>
  <c r="V235" i="55"/>
  <c r="V265" i="55"/>
  <c r="O279" i="55"/>
  <c r="K279" i="55" s="1"/>
  <c r="O289" i="55"/>
  <c r="V300" i="55"/>
  <c r="V315" i="55"/>
  <c r="P396" i="55"/>
  <c r="V401" i="55"/>
  <c r="O425" i="55"/>
  <c r="K425" i="55" s="1"/>
  <c r="O430" i="55"/>
  <c r="K430" i="55" s="1"/>
  <c r="P436" i="55"/>
  <c r="P471" i="55"/>
  <c r="O490" i="55"/>
  <c r="O493" i="55"/>
  <c r="V501" i="55"/>
  <c r="O508" i="55"/>
  <c r="L511" i="55"/>
  <c r="W545" i="55"/>
  <c r="O44" i="55"/>
  <c r="O52" i="55"/>
  <c r="O55" i="55" s="1"/>
  <c r="O64" i="55"/>
  <c r="O72" i="55"/>
  <c r="O75" i="55" s="1"/>
  <c r="O84" i="55"/>
  <c r="O92" i="55"/>
  <c r="O95" i="55" s="1"/>
  <c r="O104" i="55"/>
  <c r="O112" i="55"/>
  <c r="O115" i="55" s="1"/>
  <c r="O124" i="55"/>
  <c r="O132" i="55"/>
  <c r="O135" i="55" s="1"/>
  <c r="O144" i="55"/>
  <c r="O152" i="55"/>
  <c r="O155" i="55" s="1"/>
  <c r="V165" i="55"/>
  <c r="O179" i="55"/>
  <c r="K179" i="55" s="1"/>
  <c r="O189" i="55"/>
  <c r="K189" i="55" s="1"/>
  <c r="V200" i="55"/>
  <c r="V215" i="55"/>
  <c r="K229" i="55"/>
  <c r="V245" i="55"/>
  <c r="O259" i="55"/>
  <c r="K259" i="55" s="1"/>
  <c r="O269" i="55"/>
  <c r="K269" i="55" s="1"/>
  <c r="V280" i="55"/>
  <c r="V295" i="55"/>
  <c r="K309" i="55"/>
  <c r="V325" i="55"/>
  <c r="V382" i="55"/>
  <c r="K398" i="55"/>
  <c r="V416" i="55"/>
  <c r="O450" i="55"/>
  <c r="O455" i="55"/>
  <c r="V461" i="55"/>
  <c r="O480" i="55"/>
  <c r="K480" i="55" s="1"/>
  <c r="O498" i="55"/>
  <c r="O505" i="55"/>
  <c r="R545" i="55"/>
  <c r="X543" i="55"/>
  <c r="V456" i="55"/>
  <c r="V511" i="55"/>
  <c r="O24" i="55"/>
  <c r="O32" i="55"/>
  <c r="O35" i="55" s="1"/>
  <c r="I337" i="55"/>
  <c r="K22" i="55"/>
  <c r="O29" i="55"/>
  <c r="K42" i="55"/>
  <c r="O49" i="55"/>
  <c r="K62" i="55"/>
  <c r="O69" i="55"/>
  <c r="K82" i="55"/>
  <c r="K85" i="55" s="1"/>
  <c r="O89" i="55"/>
  <c r="K102" i="55"/>
  <c r="O109" i="55"/>
  <c r="K122" i="55"/>
  <c r="O129" i="55"/>
  <c r="K142" i="55"/>
  <c r="O149" i="55"/>
  <c r="H337" i="55"/>
  <c r="O169" i="55"/>
  <c r="K169" i="55" s="1"/>
  <c r="L180" i="55"/>
  <c r="V180" i="55"/>
  <c r="V195" i="55"/>
  <c r="K209" i="55"/>
  <c r="V225" i="55"/>
  <c r="O239" i="55"/>
  <c r="K239" i="55" s="1"/>
  <c r="O249" i="55"/>
  <c r="K249" i="55" s="1"/>
  <c r="L260" i="55"/>
  <c r="V260" i="55"/>
  <c r="V275" i="55"/>
  <c r="K289" i="55"/>
  <c r="V305" i="55"/>
  <c r="O319" i="55"/>
  <c r="K319" i="55" s="1"/>
  <c r="O329" i="55"/>
  <c r="K329" i="55" s="1"/>
  <c r="Q340" i="55"/>
  <c r="V337" i="55"/>
  <c r="H380" i="55"/>
  <c r="O352" i="55"/>
  <c r="K352" i="55" s="1"/>
  <c r="O362" i="55"/>
  <c r="K362" i="55" s="1"/>
  <c r="O372" i="55"/>
  <c r="K372" i="55" s="1"/>
  <c r="T383" i="55"/>
  <c r="H547" i="55"/>
  <c r="O400" i="55"/>
  <c r="K400" i="55" s="1"/>
  <c r="S401" i="55"/>
  <c r="O408" i="55"/>
  <c r="O411" i="55" s="1"/>
  <c r="P411" i="55"/>
  <c r="O413" i="55"/>
  <c r="K413" i="55" s="1"/>
  <c r="S421" i="55"/>
  <c r="P421" i="55"/>
  <c r="O423" i="55"/>
  <c r="O440" i="55"/>
  <c r="K440" i="55" s="1"/>
  <c r="L461" i="55"/>
  <c r="O495" i="55"/>
  <c r="V526" i="55"/>
  <c r="T543" i="55"/>
  <c r="T546" i="55" s="1"/>
  <c r="K45" i="55"/>
  <c r="H543" i="55"/>
  <c r="O25" i="55"/>
  <c r="O45" i="55"/>
  <c r="O65" i="55"/>
  <c r="O85" i="55"/>
  <c r="O105" i="55"/>
  <c r="O125" i="55"/>
  <c r="O145" i="55"/>
  <c r="O441" i="55"/>
  <c r="P20" i="55"/>
  <c r="K24" i="55"/>
  <c r="K25" i="55" s="1"/>
  <c r="V25" i="55"/>
  <c r="P30" i="55"/>
  <c r="K34" i="55"/>
  <c r="V35" i="55"/>
  <c r="P40" i="55"/>
  <c r="K44" i="55"/>
  <c r="V45" i="55"/>
  <c r="P50" i="55"/>
  <c r="K54" i="55"/>
  <c r="V55" i="55"/>
  <c r="P60" i="55"/>
  <c r="K64" i="55"/>
  <c r="K65" i="55" s="1"/>
  <c r="V65" i="55"/>
  <c r="P70" i="55"/>
  <c r="K74" i="55"/>
  <c r="V75" i="55"/>
  <c r="P80" i="55"/>
  <c r="K84" i="55"/>
  <c r="V85" i="55"/>
  <c r="P90" i="55"/>
  <c r="K94" i="55"/>
  <c r="V95" i="55"/>
  <c r="P100" i="55"/>
  <c r="K104" i="55"/>
  <c r="K105" i="55" s="1"/>
  <c r="V105" i="55"/>
  <c r="P110" i="55"/>
  <c r="K114" i="55"/>
  <c r="V115" i="55"/>
  <c r="P120" i="55"/>
  <c r="K124" i="55"/>
  <c r="K125" i="55" s="1"/>
  <c r="V125" i="55"/>
  <c r="P130" i="55"/>
  <c r="K134" i="55"/>
  <c r="V135" i="55"/>
  <c r="P140" i="55"/>
  <c r="K144" i="55"/>
  <c r="K145" i="55" s="1"/>
  <c r="V145" i="55"/>
  <c r="P150" i="55"/>
  <c r="K154" i="55"/>
  <c r="V155" i="55"/>
  <c r="P160" i="55"/>
  <c r="O180" i="55"/>
  <c r="K184" i="55"/>
  <c r="O200" i="55"/>
  <c r="O220" i="55"/>
  <c r="O240" i="55"/>
  <c r="O260" i="55"/>
  <c r="O280" i="55"/>
  <c r="O300" i="55"/>
  <c r="K304" i="55"/>
  <c r="O320" i="55"/>
  <c r="M340" i="55"/>
  <c r="K360" i="55"/>
  <c r="K363" i="55" s="1"/>
  <c r="K370" i="55"/>
  <c r="K373" i="55" s="1"/>
  <c r="O373" i="55"/>
  <c r="L382" i="55"/>
  <c r="L383" i="55" s="1"/>
  <c r="P406" i="55"/>
  <c r="O403" i="55"/>
  <c r="O421" i="55"/>
  <c r="K418" i="55"/>
  <c r="K421" i="55" s="1"/>
  <c r="S436" i="55"/>
  <c r="O433" i="55"/>
  <c r="P441" i="55"/>
  <c r="P451" i="55"/>
  <c r="O448" i="55"/>
  <c r="O451" i="55" s="1"/>
  <c r="O460" i="55"/>
  <c r="K460" i="55" s="1"/>
  <c r="P461" i="55"/>
  <c r="O463" i="55"/>
  <c r="P466" i="55"/>
  <c r="L481" i="55"/>
  <c r="V496" i="55"/>
  <c r="O533" i="55"/>
  <c r="O536" i="55" s="1"/>
  <c r="P536" i="55"/>
  <c r="Q545" i="55"/>
  <c r="V540" i="55"/>
  <c r="S339" i="55"/>
  <c r="P165" i="55"/>
  <c r="O162" i="55"/>
  <c r="O165" i="55" s="1"/>
  <c r="O164" i="55"/>
  <c r="K164" i="55" s="1"/>
  <c r="K180" i="55"/>
  <c r="P185" i="55"/>
  <c r="O182" i="55"/>
  <c r="O184" i="55"/>
  <c r="K200" i="55"/>
  <c r="P205" i="55"/>
  <c r="O202" i="55"/>
  <c r="O204" i="55"/>
  <c r="K204" i="55" s="1"/>
  <c r="K220" i="55"/>
  <c r="P225" i="55"/>
  <c r="O222" i="55"/>
  <c r="O224" i="55"/>
  <c r="K224" i="55" s="1"/>
  <c r="K240" i="55"/>
  <c r="P245" i="55"/>
  <c r="O242" i="55"/>
  <c r="O244" i="55"/>
  <c r="K244" i="55" s="1"/>
  <c r="K260" i="55"/>
  <c r="P265" i="55"/>
  <c r="O262" i="55"/>
  <c r="O264" i="55"/>
  <c r="K264" i="55" s="1"/>
  <c r="K280" i="55"/>
  <c r="P285" i="55"/>
  <c r="O282" i="55"/>
  <c r="O284" i="55"/>
  <c r="K284" i="55" s="1"/>
  <c r="K300" i="55"/>
  <c r="P305" i="55"/>
  <c r="O302" i="55"/>
  <c r="O304" i="55"/>
  <c r="K320" i="55"/>
  <c r="P325" i="55"/>
  <c r="O322" i="55"/>
  <c r="O324" i="55"/>
  <c r="K324" i="55" s="1"/>
  <c r="S337" i="55"/>
  <c r="S340" i="55" s="1"/>
  <c r="P380" i="55"/>
  <c r="P383" i="55" s="1"/>
  <c r="P348" i="55"/>
  <c r="O345" i="55"/>
  <c r="O347" i="55"/>
  <c r="V348" i="55"/>
  <c r="V383" i="55"/>
  <c r="I544" i="55"/>
  <c r="O401" i="55"/>
  <c r="K438" i="55"/>
  <c r="K441" i="55" s="1"/>
  <c r="K493" i="55"/>
  <c r="L496" i="55"/>
  <c r="K495" i="55"/>
  <c r="N543" i="55"/>
  <c r="N546" i="55" s="1"/>
  <c r="N541" i="55"/>
  <c r="L337" i="55"/>
  <c r="K19" i="55"/>
  <c r="V339" i="55"/>
  <c r="V340" i="55" s="1"/>
  <c r="L25" i="55"/>
  <c r="P25" i="55"/>
  <c r="K29" i="55"/>
  <c r="L35" i="55"/>
  <c r="P35" i="55"/>
  <c r="K39" i="55"/>
  <c r="L45" i="55"/>
  <c r="P45" i="55"/>
  <c r="K49" i="55"/>
  <c r="L55" i="55"/>
  <c r="P55" i="55"/>
  <c r="K59" i="55"/>
  <c r="L65" i="55"/>
  <c r="P65" i="55"/>
  <c r="K69" i="55"/>
  <c r="L75" i="55"/>
  <c r="P75" i="55"/>
  <c r="K79" i="55"/>
  <c r="L85" i="55"/>
  <c r="P85" i="55"/>
  <c r="K89" i="55"/>
  <c r="L95" i="55"/>
  <c r="P95" i="55"/>
  <c r="K99" i="55"/>
  <c r="L105" i="55"/>
  <c r="P105" i="55"/>
  <c r="K109" i="55"/>
  <c r="L115" i="55"/>
  <c r="P115" i="55"/>
  <c r="K119" i="55"/>
  <c r="L125" i="55"/>
  <c r="P125" i="55"/>
  <c r="K129" i="55"/>
  <c r="L135" i="55"/>
  <c r="P135" i="55"/>
  <c r="K139" i="55"/>
  <c r="L145" i="55"/>
  <c r="P145" i="55"/>
  <c r="K149" i="55"/>
  <c r="L155" i="55"/>
  <c r="P155" i="55"/>
  <c r="K159" i="55"/>
  <c r="L170" i="55"/>
  <c r="L190" i="55"/>
  <c r="L210" i="55"/>
  <c r="L230" i="55"/>
  <c r="L250" i="55"/>
  <c r="L270" i="55"/>
  <c r="L290" i="55"/>
  <c r="L310" i="55"/>
  <c r="L330" i="55"/>
  <c r="P339" i="55"/>
  <c r="I380" i="55"/>
  <c r="I543" i="55" s="1"/>
  <c r="L353" i="55"/>
  <c r="S380" i="55"/>
  <c r="H545" i="55"/>
  <c r="H546" i="55"/>
  <c r="P540" i="55"/>
  <c r="O390" i="55"/>
  <c r="S396" i="55"/>
  <c r="O393" i="55"/>
  <c r="L401" i="55"/>
  <c r="K408" i="55"/>
  <c r="K411" i="55" s="1"/>
  <c r="S411" i="55"/>
  <c r="K423" i="55"/>
  <c r="K426" i="55" s="1"/>
  <c r="O426" i="55"/>
  <c r="O428" i="55"/>
  <c r="O431" i="55" s="1"/>
  <c r="P431" i="55"/>
  <c r="P481" i="55"/>
  <c r="P491" i="55"/>
  <c r="O488" i="55"/>
  <c r="O491" i="55" s="1"/>
  <c r="O496" i="55"/>
  <c r="L521" i="55"/>
  <c r="O523" i="55"/>
  <c r="P526" i="55"/>
  <c r="P538" i="55"/>
  <c r="U543" i="55"/>
  <c r="U541" i="55"/>
  <c r="M545" i="55"/>
  <c r="M546" i="55" s="1"/>
  <c r="R541" i="55"/>
  <c r="Q546" i="55"/>
  <c r="P337" i="55"/>
  <c r="P340" i="55" s="1"/>
  <c r="O17" i="55"/>
  <c r="O27" i="55"/>
  <c r="O37" i="55"/>
  <c r="O47" i="55"/>
  <c r="O57" i="55"/>
  <c r="O67" i="55"/>
  <c r="O77" i="55"/>
  <c r="O87" i="55"/>
  <c r="O97" i="55"/>
  <c r="O107" i="55"/>
  <c r="O117" i="55"/>
  <c r="O127" i="55"/>
  <c r="O137" i="55"/>
  <c r="O147" i="55"/>
  <c r="O157" i="55"/>
  <c r="K162" i="55"/>
  <c r="O167" i="55"/>
  <c r="P175" i="55"/>
  <c r="O172" i="55"/>
  <c r="O174" i="55"/>
  <c r="S180" i="55"/>
  <c r="O187" i="55"/>
  <c r="P195" i="55"/>
  <c r="O192" i="55"/>
  <c r="O194" i="55"/>
  <c r="K194" i="55" s="1"/>
  <c r="S200" i="55"/>
  <c r="O207" i="55"/>
  <c r="P215" i="55"/>
  <c r="O212" i="55"/>
  <c r="O214" i="55"/>
  <c r="K214" i="55" s="1"/>
  <c r="S220" i="55"/>
  <c r="O227" i="55"/>
  <c r="P235" i="55"/>
  <c r="O232" i="55"/>
  <c r="O234" i="55"/>
  <c r="K234" i="55" s="1"/>
  <c r="S240" i="55"/>
  <c r="O247" i="55"/>
  <c r="P255" i="55"/>
  <c r="O252" i="55"/>
  <c r="O254" i="55"/>
  <c r="K254" i="55" s="1"/>
  <c r="S260" i="55"/>
  <c r="O267" i="55"/>
  <c r="P275" i="55"/>
  <c r="O272" i="55"/>
  <c r="O274" i="55"/>
  <c r="K274" i="55" s="1"/>
  <c r="S280" i="55"/>
  <c r="O287" i="55"/>
  <c r="P295" i="55"/>
  <c r="O292" i="55"/>
  <c r="O294" i="55"/>
  <c r="K294" i="55" s="1"/>
  <c r="S300" i="55"/>
  <c r="O307" i="55"/>
  <c r="P315" i="55"/>
  <c r="O312" i="55"/>
  <c r="O314" i="55"/>
  <c r="K314" i="55" s="1"/>
  <c r="S320" i="55"/>
  <c r="O327" i="55"/>
  <c r="P335" i="55"/>
  <c r="O332" i="55"/>
  <c r="O334" i="55"/>
  <c r="K334" i="55" s="1"/>
  <c r="L339" i="55"/>
  <c r="S382" i="55"/>
  <c r="O350" i="55"/>
  <c r="P358" i="55"/>
  <c r="O355" i="55"/>
  <c r="O357" i="55"/>
  <c r="K357" i="55" s="1"/>
  <c r="P368" i="55"/>
  <c r="O365" i="55"/>
  <c r="O367" i="55"/>
  <c r="K367" i="55" s="1"/>
  <c r="P378" i="55"/>
  <c r="O375" i="55"/>
  <c r="O377" i="55"/>
  <c r="K377" i="55" s="1"/>
  <c r="L538" i="55"/>
  <c r="K388" i="55"/>
  <c r="V538" i="55"/>
  <c r="V391" i="55"/>
  <c r="S540" i="55"/>
  <c r="K405" i="55"/>
  <c r="O415" i="55"/>
  <c r="K415" i="55" s="1"/>
  <c r="K416" i="55" s="1"/>
  <c r="O416" i="55"/>
  <c r="S426" i="55"/>
  <c r="L431" i="55"/>
  <c r="S441" i="55"/>
  <c r="K448" i="55"/>
  <c r="K450" i="55"/>
  <c r="L451" i="55"/>
  <c r="P456" i="55"/>
  <c r="K468" i="55"/>
  <c r="L471" i="55"/>
  <c r="V471" i="55"/>
  <c r="V481" i="55"/>
  <c r="O478" i="55"/>
  <c r="O481" i="55" s="1"/>
  <c r="O518" i="55"/>
  <c r="K533" i="55"/>
  <c r="L536" i="55"/>
  <c r="K535" i="55"/>
  <c r="U545" i="55"/>
  <c r="T541" i="55"/>
  <c r="R543" i="55"/>
  <c r="R546" i="55" s="1"/>
  <c r="L368" i="55"/>
  <c r="L378" i="55"/>
  <c r="L540" i="55"/>
  <c r="L406" i="55"/>
  <c r="K455" i="55"/>
  <c r="K475" i="55"/>
  <c r="O483" i="55"/>
  <c r="K505" i="55"/>
  <c r="O515" i="55"/>
  <c r="K515" i="55" s="1"/>
  <c r="K528" i="55"/>
  <c r="L531" i="55"/>
  <c r="W543" i="55"/>
  <c r="W546" i="55" s="1"/>
  <c r="S538" i="55"/>
  <c r="S391" i="55"/>
  <c r="L416" i="55"/>
  <c r="O443" i="55"/>
  <c r="O453" i="55"/>
  <c r="O456" i="55" s="1"/>
  <c r="K465" i="55"/>
  <c r="O475" i="55"/>
  <c r="P486" i="55"/>
  <c r="K488" i="55"/>
  <c r="K490" i="55"/>
  <c r="L491" i="55"/>
  <c r="P496" i="55"/>
  <c r="O500" i="55"/>
  <c r="K500" i="55" s="1"/>
  <c r="O503" i="55"/>
  <c r="P506" i="55"/>
  <c r="K508" i="55"/>
  <c r="S521" i="55"/>
  <c r="O520" i="55"/>
  <c r="K520" i="55" s="1"/>
  <c r="P531" i="55"/>
  <c r="O528" i="55"/>
  <c r="O530" i="55"/>
  <c r="K530" i="55" s="1"/>
  <c r="X545" i="55"/>
  <c r="X546" i="55" s="1"/>
  <c r="L348" i="55"/>
  <c r="K445" i="55"/>
  <c r="K458" i="55"/>
  <c r="K461" i="55" s="1"/>
  <c r="S471" i="55"/>
  <c r="O470" i="55"/>
  <c r="K470" i="55" s="1"/>
  <c r="O473" i="55"/>
  <c r="K485" i="55"/>
  <c r="K498" i="55"/>
  <c r="S511" i="55"/>
  <c r="O510" i="55"/>
  <c r="K510" i="55" s="1"/>
  <c r="O513" i="55"/>
  <c r="K525" i="55"/>
  <c r="W541" i="55"/>
  <c r="S383" i="55" l="1"/>
  <c r="O471" i="55"/>
  <c r="K112" i="55"/>
  <c r="K115" i="55" s="1"/>
  <c r="K32" i="55"/>
  <c r="K35" i="55" s="1"/>
  <c r="O521" i="55"/>
  <c r="K451" i="55"/>
  <c r="O339" i="55"/>
  <c r="P545" i="55"/>
  <c r="K401" i="55"/>
  <c r="K92" i="55"/>
  <c r="K95" i="55" s="1"/>
  <c r="K491" i="55"/>
  <c r="K471" i="55"/>
  <c r="U546" i="55"/>
  <c r="L340" i="55"/>
  <c r="O363" i="55"/>
  <c r="K55" i="55"/>
  <c r="K152" i="55"/>
  <c r="K155" i="55" s="1"/>
  <c r="K72" i="55"/>
  <c r="K75" i="55" s="1"/>
  <c r="L545" i="55"/>
  <c r="K536" i="55"/>
  <c r="K132" i="55"/>
  <c r="K135" i="55" s="1"/>
  <c r="K52" i="55"/>
  <c r="O516" i="55"/>
  <c r="K513" i="55"/>
  <c r="K516" i="55" s="1"/>
  <c r="S543" i="55"/>
  <c r="S541" i="55"/>
  <c r="K531" i="55"/>
  <c r="O368" i="55"/>
  <c r="K365" i="55"/>
  <c r="K368" i="55" s="1"/>
  <c r="K307" i="55"/>
  <c r="K310" i="55" s="1"/>
  <c r="O310" i="55"/>
  <c r="O275" i="55"/>
  <c r="K272" i="55"/>
  <c r="K275" i="55" s="1"/>
  <c r="K227" i="55"/>
  <c r="K230" i="55" s="1"/>
  <c r="O230" i="55"/>
  <c r="O195" i="55"/>
  <c r="K192" i="55"/>
  <c r="K195" i="55" s="1"/>
  <c r="K165" i="55"/>
  <c r="O130" i="55"/>
  <c r="K127" i="55"/>
  <c r="K130" i="55" s="1"/>
  <c r="O90" i="55"/>
  <c r="K87" i="55"/>
  <c r="K90" i="55" s="1"/>
  <c r="O50" i="55"/>
  <c r="K47" i="55"/>
  <c r="K50" i="55" s="1"/>
  <c r="K523" i="55"/>
  <c r="K526" i="55" s="1"/>
  <c r="O526" i="55"/>
  <c r="K174" i="55"/>
  <c r="K322" i="55"/>
  <c r="K325" i="55" s="1"/>
  <c r="O325" i="55"/>
  <c r="K302" i="55"/>
  <c r="K305" i="55" s="1"/>
  <c r="O305" i="55"/>
  <c r="K282" i="55"/>
  <c r="K285" i="55" s="1"/>
  <c r="O285" i="55"/>
  <c r="K262" i="55"/>
  <c r="K265" i="55" s="1"/>
  <c r="O265" i="55"/>
  <c r="K242" i="55"/>
  <c r="K245" i="55" s="1"/>
  <c r="O245" i="55"/>
  <c r="K222" i="55"/>
  <c r="K225" i="55" s="1"/>
  <c r="O225" i="55"/>
  <c r="K202" i="55"/>
  <c r="K205" i="55" s="1"/>
  <c r="O205" i="55"/>
  <c r="K182" i="55"/>
  <c r="K185" i="55" s="1"/>
  <c r="O185" i="55"/>
  <c r="V545" i="55"/>
  <c r="O501" i="55"/>
  <c r="O436" i="55"/>
  <c r="K433" i="55"/>
  <c r="K436" i="55" s="1"/>
  <c r="O538" i="55"/>
  <c r="O476" i="55"/>
  <c r="K473" i="55"/>
  <c r="K476" i="55" s="1"/>
  <c r="O531" i="55"/>
  <c r="K511" i="55"/>
  <c r="O446" i="55"/>
  <c r="K443" i="55"/>
  <c r="K446" i="55" s="1"/>
  <c r="O461" i="55"/>
  <c r="V543" i="55"/>
  <c r="V546" i="55" s="1"/>
  <c r="V541" i="55"/>
  <c r="O378" i="55"/>
  <c r="K375" i="55"/>
  <c r="K378" i="55" s="1"/>
  <c r="K350" i="55"/>
  <c r="K353" i="55" s="1"/>
  <c r="O353" i="55"/>
  <c r="O335" i="55"/>
  <c r="K332" i="55"/>
  <c r="K335" i="55" s="1"/>
  <c r="K287" i="55"/>
  <c r="K290" i="55" s="1"/>
  <c r="O290" i="55"/>
  <c r="O255" i="55"/>
  <c r="K252" i="55"/>
  <c r="K255" i="55" s="1"/>
  <c r="K207" i="55"/>
  <c r="K210" i="55" s="1"/>
  <c r="O210" i="55"/>
  <c r="O175" i="55"/>
  <c r="K172" i="55"/>
  <c r="K175" i="55" s="1"/>
  <c r="O160" i="55"/>
  <c r="K157" i="55"/>
  <c r="K160" i="55" s="1"/>
  <c r="O120" i="55"/>
  <c r="K117" i="55"/>
  <c r="K120" i="55" s="1"/>
  <c r="O80" i="55"/>
  <c r="K77" i="55"/>
  <c r="K80" i="55" s="1"/>
  <c r="O40" i="55"/>
  <c r="K37" i="55"/>
  <c r="K40" i="55" s="1"/>
  <c r="O540" i="55"/>
  <c r="K390" i="55"/>
  <c r="K540" i="55" s="1"/>
  <c r="K339" i="55"/>
  <c r="K428" i="55"/>
  <c r="K431" i="55" s="1"/>
  <c r="O406" i="55"/>
  <c r="K403" i="55"/>
  <c r="K406" i="55" s="1"/>
  <c r="O315" i="55"/>
  <c r="K312" i="55"/>
  <c r="K315" i="55" s="1"/>
  <c r="K267" i="55"/>
  <c r="K270" i="55" s="1"/>
  <c r="O270" i="55"/>
  <c r="O235" i="55"/>
  <c r="K232" i="55"/>
  <c r="K235" i="55" s="1"/>
  <c r="K187" i="55"/>
  <c r="K190" i="55" s="1"/>
  <c r="O190" i="55"/>
  <c r="O150" i="55"/>
  <c r="K147" i="55"/>
  <c r="K150" i="55" s="1"/>
  <c r="O110" i="55"/>
  <c r="K107" i="55"/>
  <c r="K110" i="55" s="1"/>
  <c r="O70" i="55"/>
  <c r="K67" i="55"/>
  <c r="K70" i="55" s="1"/>
  <c r="O30" i="55"/>
  <c r="K27" i="55"/>
  <c r="K30" i="55" s="1"/>
  <c r="P543" i="55"/>
  <c r="P546" i="55" s="1"/>
  <c r="P541" i="55"/>
  <c r="K518" i="55"/>
  <c r="K521" i="55" s="1"/>
  <c r="O382" i="55"/>
  <c r="O466" i="55"/>
  <c r="K463" i="55"/>
  <c r="K466" i="55" s="1"/>
  <c r="K347" i="55"/>
  <c r="K382" i="55" s="1"/>
  <c r="K501" i="55"/>
  <c r="O506" i="55"/>
  <c r="K503" i="55"/>
  <c r="K506" i="55" s="1"/>
  <c r="O486" i="55"/>
  <c r="K483" i="55"/>
  <c r="K486" i="55" s="1"/>
  <c r="K453" i="55"/>
  <c r="K456" i="55" s="1"/>
  <c r="S545" i="55"/>
  <c r="L541" i="55"/>
  <c r="L543" i="55"/>
  <c r="L546" i="55" s="1"/>
  <c r="O358" i="55"/>
  <c r="K355" i="55"/>
  <c r="K358" i="55" s="1"/>
  <c r="K327" i="55"/>
  <c r="K330" i="55" s="1"/>
  <c r="O330" i="55"/>
  <c r="O295" i="55"/>
  <c r="K292" i="55"/>
  <c r="K295" i="55" s="1"/>
  <c r="K247" i="55"/>
  <c r="K250" i="55" s="1"/>
  <c r="O250" i="55"/>
  <c r="O215" i="55"/>
  <c r="K212" i="55"/>
  <c r="K215" i="55" s="1"/>
  <c r="K167" i="55"/>
  <c r="K170" i="55" s="1"/>
  <c r="O170" i="55"/>
  <c r="O140" i="55"/>
  <c r="K137" i="55"/>
  <c r="K140" i="55" s="1"/>
  <c r="O100" i="55"/>
  <c r="K97" i="55"/>
  <c r="K100" i="55" s="1"/>
  <c r="O60" i="55"/>
  <c r="K57" i="55"/>
  <c r="K60" i="55" s="1"/>
  <c r="O20" i="55"/>
  <c r="O337" i="55"/>
  <c r="O340" i="55" s="1"/>
  <c r="K17" i="55"/>
  <c r="O511" i="55"/>
  <c r="O396" i="55"/>
  <c r="K393" i="55"/>
  <c r="K396" i="55" s="1"/>
  <c r="K496" i="55"/>
  <c r="O380" i="55"/>
  <c r="K345" i="55"/>
  <c r="O348" i="55"/>
  <c r="K478" i="55"/>
  <c r="K481" i="55" s="1"/>
  <c r="O391" i="55"/>
  <c r="O545" i="55" l="1"/>
  <c r="O383" i="55"/>
  <c r="K380" i="55"/>
  <c r="K383" i="55" s="1"/>
  <c r="K348" i="55"/>
  <c r="K538" i="55"/>
  <c r="O543" i="55"/>
  <c r="O546" i="55" s="1"/>
  <c r="O541" i="55"/>
  <c r="K545" i="55"/>
  <c r="S546" i="55"/>
  <c r="K337" i="55"/>
  <c r="K340" i="55" s="1"/>
  <c r="K20" i="55"/>
  <c r="K391" i="55"/>
  <c r="K543" i="55" l="1"/>
  <c r="K546" i="55" s="1"/>
  <c r="K541" i="55"/>
  <c r="E54" i="54" l="1"/>
  <c r="D54" i="54"/>
  <c r="E52" i="54"/>
  <c r="D52" i="54"/>
  <c r="E49" i="54"/>
  <c r="D49" i="54"/>
  <c r="E43" i="54"/>
  <c r="D43" i="54"/>
  <c r="F40" i="54"/>
  <c r="E40" i="54"/>
  <c r="E39" i="54"/>
  <c r="D39" i="54"/>
  <c r="F39" i="54" s="1"/>
  <c r="E38" i="54"/>
  <c r="E37" i="54" s="1"/>
  <c r="D38" i="54"/>
  <c r="F30" i="54"/>
  <c r="F29" i="54" s="1"/>
  <c r="E29" i="54"/>
  <c r="D29" i="54"/>
  <c r="F28" i="54"/>
  <c r="F54" i="54" s="1"/>
  <c r="F27" i="54"/>
  <c r="F26" i="54"/>
  <c r="F49" i="54" s="1"/>
  <c r="F25" i="54"/>
  <c r="F44" i="54" s="1"/>
  <c r="E25" i="54"/>
  <c r="E44" i="54" s="1"/>
  <c r="E45" i="54" s="1"/>
  <c r="D25" i="54"/>
  <c r="D44" i="54" s="1"/>
  <c r="D24" i="54"/>
  <c r="D31" i="54" s="1"/>
  <c r="F21" i="54"/>
  <c r="F20" i="54"/>
  <c r="E19" i="54"/>
  <c r="E50" i="54" s="1"/>
  <c r="D19" i="54"/>
  <c r="F18" i="54"/>
  <c r="F17" i="54"/>
  <c r="F16" i="54" s="1"/>
  <c r="F56" i="54" s="1"/>
  <c r="E16" i="54"/>
  <c r="E56" i="54" s="1"/>
  <c r="D16" i="54"/>
  <c r="D56" i="54" s="1"/>
  <c r="F15" i="54"/>
  <c r="F13" i="54"/>
  <c r="F11" i="54" s="1"/>
  <c r="F12" i="54"/>
  <c r="F43" i="54" s="1"/>
  <c r="F45" i="54" s="1"/>
  <c r="E11" i="54"/>
  <c r="E48" i="54" s="1"/>
  <c r="E51" i="54" s="1"/>
  <c r="E53" i="54" s="1"/>
  <c r="E55" i="54" s="1"/>
  <c r="D11" i="54"/>
  <c r="D35" i="54" s="1"/>
  <c r="D45" i="54" l="1"/>
  <c r="E14" i="54"/>
  <c r="E22" i="54" s="1"/>
  <c r="D14" i="54"/>
  <c r="D22" i="54" s="1"/>
  <c r="D33" i="54" s="1"/>
  <c r="F38" i="54"/>
  <c r="F37" i="54" s="1"/>
  <c r="E59" i="54"/>
  <c r="F48" i="54"/>
  <c r="D50" i="54"/>
  <c r="F52" i="54"/>
  <c r="E24" i="54"/>
  <c r="F19" i="54"/>
  <c r="F24" i="54"/>
  <c r="F31" i="54" s="1"/>
  <c r="D37" i="54"/>
  <c r="D48" i="54"/>
  <c r="E31" i="54" l="1"/>
  <c r="E33" i="54" s="1"/>
  <c r="E35" i="54"/>
  <c r="F50" i="54"/>
  <c r="F14" i="54"/>
  <c r="F22" i="54" s="1"/>
  <c r="F33" i="54" s="1"/>
  <c r="D51" i="54"/>
  <c r="D53" i="54" s="1"/>
  <c r="D55" i="54" s="1"/>
  <c r="D59" i="54" s="1"/>
  <c r="F35" i="54"/>
  <c r="F51" i="54"/>
  <c r="F53" i="54" s="1"/>
  <c r="F55" i="54" s="1"/>
  <c r="F59" i="54" s="1"/>
  <c r="G9" i="53" l="1"/>
  <c r="F10" i="53"/>
  <c r="G10" i="53"/>
  <c r="F15" i="53"/>
  <c r="G15" i="53"/>
  <c r="F18" i="53"/>
  <c r="G18" i="53"/>
  <c r="F21" i="53"/>
  <c r="G21" i="53"/>
  <c r="F24" i="53"/>
  <c r="G24" i="53"/>
  <c r="F27" i="53"/>
  <c r="G27" i="53"/>
  <c r="F30" i="53"/>
  <c r="G30" i="53"/>
  <c r="F33" i="53"/>
  <c r="G33" i="53"/>
  <c r="F36" i="53"/>
  <c r="G36" i="53"/>
  <c r="F39" i="53"/>
  <c r="G39" i="53"/>
  <c r="F42" i="53"/>
  <c r="G42" i="53"/>
  <c r="F45" i="53"/>
  <c r="G45" i="53"/>
  <c r="F48" i="53"/>
  <c r="G48" i="53"/>
  <c r="F51" i="53"/>
  <c r="G51" i="53"/>
  <c r="F54" i="53"/>
  <c r="G54" i="53"/>
  <c r="F57" i="53"/>
  <c r="G57" i="53"/>
  <c r="F60" i="53"/>
  <c r="G60" i="53"/>
  <c r="F63" i="53"/>
  <c r="G63" i="53"/>
  <c r="F66" i="53"/>
  <c r="G66" i="53"/>
  <c r="F69" i="53"/>
  <c r="G69" i="53"/>
  <c r="F72" i="53"/>
  <c r="G72" i="53"/>
  <c r="F75" i="53"/>
  <c r="G75" i="53"/>
  <c r="F78" i="53"/>
  <c r="G78" i="53"/>
  <c r="F81" i="53"/>
  <c r="G81" i="53"/>
  <c r="F84" i="53"/>
  <c r="G84" i="53"/>
  <c r="F87" i="53"/>
  <c r="G87" i="53"/>
  <c r="F90" i="53"/>
  <c r="G90" i="53"/>
  <c r="J15" i="52"/>
  <c r="I15" i="52" s="1"/>
  <c r="K15" i="52"/>
  <c r="M15" i="52"/>
  <c r="N15" i="52"/>
  <c r="J16" i="52"/>
  <c r="K16" i="52"/>
  <c r="M16" i="52"/>
  <c r="N16" i="52"/>
  <c r="I19" i="52"/>
  <c r="H19" i="52" s="1"/>
  <c r="L19" i="52"/>
  <c r="I20" i="52"/>
  <c r="L20" i="52"/>
  <c r="J21" i="52"/>
  <c r="K21" i="52"/>
  <c r="M21" i="52"/>
  <c r="N21" i="52"/>
  <c r="I22" i="52"/>
  <c r="L22" i="52"/>
  <c r="H22" i="52" s="1"/>
  <c r="H23" i="52"/>
  <c r="I23" i="52"/>
  <c r="L23" i="52"/>
  <c r="J24" i="52"/>
  <c r="I24" i="52" s="1"/>
  <c r="K24" i="52"/>
  <c r="M24" i="52"/>
  <c r="N24" i="52"/>
  <c r="I25" i="52"/>
  <c r="H25" i="52" s="1"/>
  <c r="L25" i="52"/>
  <c r="I26" i="52"/>
  <c r="H26" i="52" s="1"/>
  <c r="L26" i="52"/>
  <c r="J27" i="52"/>
  <c r="K27" i="52"/>
  <c r="M27" i="52"/>
  <c r="N27" i="52"/>
  <c r="I28" i="52"/>
  <c r="L28" i="52"/>
  <c r="H28" i="52" s="1"/>
  <c r="I29" i="52"/>
  <c r="L29" i="52"/>
  <c r="J30" i="52"/>
  <c r="K30" i="52"/>
  <c r="M30" i="52"/>
  <c r="N30" i="52"/>
  <c r="L30" i="52" s="1"/>
  <c r="I31" i="52"/>
  <c r="H31" i="52" s="1"/>
  <c r="L31" i="52"/>
  <c r="I32" i="52"/>
  <c r="H32" i="52" s="1"/>
  <c r="L32" i="52"/>
  <c r="J33" i="52"/>
  <c r="K33" i="52"/>
  <c r="M33" i="52"/>
  <c r="L33" i="52" s="1"/>
  <c r="N33" i="52"/>
  <c r="I34" i="52"/>
  <c r="L34" i="52"/>
  <c r="H34" i="52" s="1"/>
  <c r="I35" i="52"/>
  <c r="H35" i="52" s="1"/>
  <c r="L35" i="52"/>
  <c r="J36" i="52"/>
  <c r="K36" i="52"/>
  <c r="M36" i="52"/>
  <c r="N36" i="52"/>
  <c r="I37" i="52"/>
  <c r="L37" i="52"/>
  <c r="I38" i="52"/>
  <c r="L38" i="52"/>
  <c r="J39" i="52"/>
  <c r="K39" i="52"/>
  <c r="I39" i="52" s="1"/>
  <c r="L39" i="52"/>
  <c r="M39" i="52"/>
  <c r="N39" i="52"/>
  <c r="I40" i="52"/>
  <c r="L40" i="52"/>
  <c r="I41" i="52"/>
  <c r="L41" i="52"/>
  <c r="J42" i="52"/>
  <c r="K42" i="52"/>
  <c r="M42" i="52"/>
  <c r="L42" i="52" s="1"/>
  <c r="N42" i="52"/>
  <c r="H43" i="52"/>
  <c r="I43" i="52"/>
  <c r="L43" i="52"/>
  <c r="I44" i="52"/>
  <c r="L44" i="52"/>
  <c r="J45" i="52"/>
  <c r="I45" i="52" s="1"/>
  <c r="K45" i="52"/>
  <c r="M45" i="52"/>
  <c r="L45" i="52" s="1"/>
  <c r="N45" i="52"/>
  <c r="I46" i="52"/>
  <c r="L46" i="52"/>
  <c r="H46" i="52" s="1"/>
  <c r="H47" i="52"/>
  <c r="I47" i="52"/>
  <c r="L47" i="52"/>
  <c r="J48" i="52"/>
  <c r="I48" i="52" s="1"/>
  <c r="K48" i="52"/>
  <c r="M48" i="52"/>
  <c r="N48" i="52"/>
  <c r="I49" i="52"/>
  <c r="H49" i="52" s="1"/>
  <c r="L49" i="52"/>
  <c r="I50" i="52"/>
  <c r="L50" i="52"/>
  <c r="H50" i="52" s="1"/>
  <c r="J51" i="52"/>
  <c r="K51" i="52"/>
  <c r="M51" i="52"/>
  <c r="N51" i="52"/>
  <c r="I52" i="52"/>
  <c r="L52" i="52"/>
  <c r="I53" i="52"/>
  <c r="L53" i="52"/>
  <c r="J54" i="52"/>
  <c r="I54" i="52" s="1"/>
  <c r="K54" i="52"/>
  <c r="M54" i="52"/>
  <c r="N54" i="52"/>
  <c r="L54" i="52" s="1"/>
  <c r="J64" i="52"/>
  <c r="K64" i="52"/>
  <c r="M64" i="52"/>
  <c r="N64" i="52"/>
  <c r="J65" i="52"/>
  <c r="K65" i="52"/>
  <c r="M65" i="52"/>
  <c r="N65" i="52"/>
  <c r="I67" i="52"/>
  <c r="L67" i="52"/>
  <c r="I68" i="52"/>
  <c r="H68" i="52" s="1"/>
  <c r="L68" i="52"/>
  <c r="J69" i="52"/>
  <c r="K69" i="52"/>
  <c r="K66" i="52" s="1"/>
  <c r="M69" i="52"/>
  <c r="M66" i="52" s="1"/>
  <c r="N69" i="52"/>
  <c r="J70" i="52"/>
  <c r="K70" i="52"/>
  <c r="I70" i="52" s="1"/>
  <c r="L70" i="52"/>
  <c r="M70" i="52"/>
  <c r="N70" i="52"/>
  <c r="J71" i="52"/>
  <c r="I71" i="52" s="1"/>
  <c r="K71" i="52"/>
  <c r="M71" i="52"/>
  <c r="L71" i="52" s="1"/>
  <c r="H71" i="52" s="1"/>
  <c r="N71" i="52"/>
  <c r="H73" i="52"/>
  <c r="I73" i="52"/>
  <c r="L73" i="52"/>
  <c r="I74" i="52"/>
  <c r="L74" i="52"/>
  <c r="J75" i="52"/>
  <c r="J72" i="52" s="1"/>
  <c r="K75" i="52"/>
  <c r="I75" i="52" s="1"/>
  <c r="M75" i="52"/>
  <c r="N75" i="52"/>
  <c r="N72" i="52" s="1"/>
  <c r="J76" i="52"/>
  <c r="K76" i="52"/>
  <c r="I76" i="52" s="1"/>
  <c r="M76" i="52"/>
  <c r="L76" i="52" s="1"/>
  <c r="N76" i="52"/>
  <c r="J77" i="52"/>
  <c r="K77" i="52"/>
  <c r="L77" i="52"/>
  <c r="M77" i="52"/>
  <c r="N77" i="52"/>
  <c r="H79" i="52"/>
  <c r="I79" i="52"/>
  <c r="L79" i="52"/>
  <c r="I80" i="52"/>
  <c r="L80" i="52"/>
  <c r="J81" i="52"/>
  <c r="K81" i="52"/>
  <c r="K78" i="52" s="1"/>
  <c r="M81" i="52"/>
  <c r="M78" i="52" s="1"/>
  <c r="L78" i="52" s="1"/>
  <c r="N81" i="52"/>
  <c r="N78" i="52" s="1"/>
  <c r="J82" i="52"/>
  <c r="K82" i="52"/>
  <c r="I82" i="52" s="1"/>
  <c r="H82" i="52" s="1"/>
  <c r="M82" i="52"/>
  <c r="L82" i="52" s="1"/>
  <c r="N82" i="52"/>
  <c r="J83" i="52"/>
  <c r="K83" i="52"/>
  <c r="M83" i="52"/>
  <c r="N83" i="52"/>
  <c r="H85" i="52"/>
  <c r="I85" i="52"/>
  <c r="L85" i="52"/>
  <c r="I86" i="52"/>
  <c r="L86" i="52"/>
  <c r="J87" i="52"/>
  <c r="K87" i="52"/>
  <c r="M87" i="52"/>
  <c r="M84" i="52" s="1"/>
  <c r="N87" i="52"/>
  <c r="I88" i="52"/>
  <c r="L88" i="52"/>
  <c r="I89" i="52"/>
  <c r="L89" i="52"/>
  <c r="H89" i="52" s="1"/>
  <c r="J90" i="52"/>
  <c r="K90" i="52"/>
  <c r="M90" i="52"/>
  <c r="L90" i="52" s="1"/>
  <c r="N90" i="52"/>
  <c r="J91" i="52"/>
  <c r="K91" i="52"/>
  <c r="I91" i="52" s="1"/>
  <c r="L91" i="52"/>
  <c r="M91" i="52"/>
  <c r="N91" i="52"/>
  <c r="J92" i="52"/>
  <c r="K92" i="52"/>
  <c r="M92" i="52"/>
  <c r="N92" i="52"/>
  <c r="N93" i="52"/>
  <c r="H94" i="52"/>
  <c r="I94" i="52"/>
  <c r="L94" i="52"/>
  <c r="I95" i="52"/>
  <c r="H95" i="52" s="1"/>
  <c r="L95" i="52"/>
  <c r="J96" i="52"/>
  <c r="K96" i="52"/>
  <c r="K93" i="52" s="1"/>
  <c r="M96" i="52"/>
  <c r="N96" i="52"/>
  <c r="J97" i="52"/>
  <c r="K97" i="52"/>
  <c r="M97" i="52"/>
  <c r="N97" i="52"/>
  <c r="J98" i="52"/>
  <c r="K98" i="52"/>
  <c r="I98" i="52" s="1"/>
  <c r="H98" i="52" s="1"/>
  <c r="M98" i="52"/>
  <c r="L98" i="52" s="1"/>
  <c r="N98" i="52"/>
  <c r="N99" i="52"/>
  <c r="I100" i="52"/>
  <c r="L100" i="52"/>
  <c r="I101" i="52"/>
  <c r="L101" i="52"/>
  <c r="J102" i="52"/>
  <c r="J99" i="52" s="1"/>
  <c r="K102" i="52"/>
  <c r="L102" i="52"/>
  <c r="M102" i="52"/>
  <c r="M99" i="52" s="1"/>
  <c r="L99" i="52" s="1"/>
  <c r="N102" i="52"/>
  <c r="J103" i="52"/>
  <c r="I103" i="52" s="1"/>
  <c r="K103" i="52"/>
  <c r="M103" i="52"/>
  <c r="N103" i="52"/>
  <c r="L103" i="52" s="1"/>
  <c r="J104" i="52"/>
  <c r="K104" i="52"/>
  <c r="M104" i="52"/>
  <c r="N104" i="52"/>
  <c r="N105" i="52"/>
  <c r="I106" i="52"/>
  <c r="H106" i="52" s="1"/>
  <c r="L106" i="52"/>
  <c r="I107" i="52"/>
  <c r="H107" i="52" s="1"/>
  <c r="L107" i="52"/>
  <c r="J108" i="52"/>
  <c r="K108" i="52"/>
  <c r="K105" i="52" s="1"/>
  <c r="M108" i="52"/>
  <c r="N108" i="52"/>
  <c r="J112" i="52"/>
  <c r="I112" i="52" s="1"/>
  <c r="K112" i="52"/>
  <c r="K109" i="52" s="1"/>
  <c r="M112" i="52"/>
  <c r="N112" i="52"/>
  <c r="N109" i="52" s="1"/>
  <c r="J113" i="52"/>
  <c r="K113" i="52"/>
  <c r="K110" i="52" s="1"/>
  <c r="M113" i="52"/>
  <c r="L113" i="52" s="1"/>
  <c r="N113" i="52"/>
  <c r="N110" i="52" s="1"/>
  <c r="K114" i="52"/>
  <c r="I115" i="52"/>
  <c r="L115" i="52"/>
  <c r="I116" i="52"/>
  <c r="L116" i="52"/>
  <c r="J117" i="52"/>
  <c r="K117" i="52"/>
  <c r="M117" i="52"/>
  <c r="N117" i="52"/>
  <c r="I118" i="52"/>
  <c r="L118" i="52"/>
  <c r="I119" i="52"/>
  <c r="L119" i="52"/>
  <c r="H119" i="52" s="1"/>
  <c r="J120" i="52"/>
  <c r="I120" i="52" s="1"/>
  <c r="K120" i="52"/>
  <c r="M120" i="52"/>
  <c r="N120" i="52"/>
  <c r="I121" i="52"/>
  <c r="L121" i="52"/>
  <c r="H121" i="52" s="1"/>
  <c r="I122" i="52"/>
  <c r="H122" i="52" s="1"/>
  <c r="L122" i="52"/>
  <c r="J123" i="52"/>
  <c r="K123" i="52"/>
  <c r="M123" i="52"/>
  <c r="N123" i="52"/>
  <c r="L123" i="52" s="1"/>
  <c r="J124" i="52"/>
  <c r="I124" i="52" s="1"/>
  <c r="K124" i="52"/>
  <c r="M124" i="52"/>
  <c r="N124" i="52"/>
  <c r="I125" i="52"/>
  <c r="J125" i="52"/>
  <c r="K125" i="52"/>
  <c r="M125" i="52"/>
  <c r="L125" i="52" s="1"/>
  <c r="H125" i="52" s="1"/>
  <c r="N125" i="52"/>
  <c r="H127" i="52"/>
  <c r="I127" i="52"/>
  <c r="L127" i="52"/>
  <c r="I128" i="52"/>
  <c r="H128" i="52" s="1"/>
  <c r="L128" i="52"/>
  <c r="J129" i="52"/>
  <c r="J126" i="52" s="1"/>
  <c r="K129" i="52"/>
  <c r="K126" i="52" s="1"/>
  <c r="M129" i="52"/>
  <c r="N129" i="52"/>
  <c r="N126" i="52" s="1"/>
  <c r="J130" i="52"/>
  <c r="K130" i="52"/>
  <c r="I130" i="52" s="1"/>
  <c r="H130" i="52" s="1"/>
  <c r="M130" i="52"/>
  <c r="L130" i="52" s="1"/>
  <c r="N130" i="52"/>
  <c r="J131" i="52"/>
  <c r="K131" i="52"/>
  <c r="M131" i="52"/>
  <c r="N131" i="52"/>
  <c r="L131" i="52" s="1"/>
  <c r="I133" i="52"/>
  <c r="L133" i="52"/>
  <c r="H133" i="52" s="1"/>
  <c r="I134" i="52"/>
  <c r="L134" i="52"/>
  <c r="J135" i="52"/>
  <c r="K135" i="52"/>
  <c r="K132" i="52" s="1"/>
  <c r="M135" i="52"/>
  <c r="M132" i="52" s="1"/>
  <c r="N135" i="52"/>
  <c r="J136" i="52"/>
  <c r="K136" i="52"/>
  <c r="I136" i="52" s="1"/>
  <c r="H136" i="52" s="1"/>
  <c r="M136" i="52"/>
  <c r="N136" i="52"/>
  <c r="L136" i="52" s="1"/>
  <c r="I137" i="52"/>
  <c r="J137" i="52"/>
  <c r="K137" i="52"/>
  <c r="M137" i="52"/>
  <c r="N137" i="52"/>
  <c r="I139" i="52"/>
  <c r="L139" i="52"/>
  <c r="H139" i="52" s="1"/>
  <c r="I140" i="52"/>
  <c r="H140" i="52" s="1"/>
  <c r="L140" i="52"/>
  <c r="J141" i="52"/>
  <c r="K141" i="52"/>
  <c r="K138" i="52" s="1"/>
  <c r="M141" i="52"/>
  <c r="M138" i="52" s="1"/>
  <c r="N141" i="52"/>
  <c r="J142" i="52"/>
  <c r="I142" i="52" s="1"/>
  <c r="K142" i="52"/>
  <c r="M142" i="52"/>
  <c r="N142" i="52"/>
  <c r="J143" i="52"/>
  <c r="K143" i="52"/>
  <c r="M143" i="52"/>
  <c r="L143" i="52" s="1"/>
  <c r="N143" i="52"/>
  <c r="I145" i="52"/>
  <c r="L145" i="52"/>
  <c r="I146" i="52"/>
  <c r="L146" i="52"/>
  <c r="J147" i="52"/>
  <c r="K147" i="52"/>
  <c r="K144" i="52" s="1"/>
  <c r="L147" i="52"/>
  <c r="M147" i="52"/>
  <c r="M144" i="52" s="1"/>
  <c r="L144" i="52" s="1"/>
  <c r="N147" i="52"/>
  <c r="N144" i="52" s="1"/>
  <c r="I151" i="52"/>
  <c r="J151" i="52"/>
  <c r="J148" i="52" s="1"/>
  <c r="K151" i="52"/>
  <c r="K148" i="52" s="1"/>
  <c r="I148" i="52" s="1"/>
  <c r="M151" i="52"/>
  <c r="N151" i="52"/>
  <c r="N148" i="52" s="1"/>
  <c r="J152" i="52"/>
  <c r="K152" i="52"/>
  <c r="K149" i="52" s="1"/>
  <c r="M152" i="52"/>
  <c r="M149" i="52" s="1"/>
  <c r="N152" i="52"/>
  <c r="N149" i="52" s="1"/>
  <c r="I154" i="52"/>
  <c r="H154" i="52" s="1"/>
  <c r="L154" i="52"/>
  <c r="I155" i="52"/>
  <c r="L155" i="52"/>
  <c r="J156" i="52"/>
  <c r="K156" i="52"/>
  <c r="K153" i="52" s="1"/>
  <c r="K150" i="52" s="1"/>
  <c r="M156" i="52"/>
  <c r="M153" i="52" s="1"/>
  <c r="N156" i="52"/>
  <c r="I157" i="52"/>
  <c r="L157" i="52"/>
  <c r="I158" i="52"/>
  <c r="L158" i="52"/>
  <c r="H158" i="52" s="1"/>
  <c r="J159" i="52"/>
  <c r="K159" i="52"/>
  <c r="M159" i="52"/>
  <c r="L159" i="52" s="1"/>
  <c r="N159" i="52"/>
  <c r="K161" i="52"/>
  <c r="J163" i="52"/>
  <c r="J160" i="52" s="1"/>
  <c r="I160" i="52" s="1"/>
  <c r="K163" i="52"/>
  <c r="K160" i="52" s="1"/>
  <c r="M163" i="52"/>
  <c r="M160" i="52" s="1"/>
  <c r="N163" i="52"/>
  <c r="N160" i="52" s="1"/>
  <c r="J164" i="52"/>
  <c r="K164" i="52"/>
  <c r="M164" i="52"/>
  <c r="N164" i="52"/>
  <c r="N161" i="52" s="1"/>
  <c r="M165" i="52"/>
  <c r="I166" i="52"/>
  <c r="H166" i="52" s="1"/>
  <c r="L166" i="52"/>
  <c r="I167" i="52"/>
  <c r="H167" i="52" s="1"/>
  <c r="L167" i="52"/>
  <c r="J168" i="52"/>
  <c r="K168" i="52"/>
  <c r="M168" i="52"/>
  <c r="L168" i="52" s="1"/>
  <c r="N168" i="52"/>
  <c r="I169" i="52"/>
  <c r="H169" i="52" s="1"/>
  <c r="I170" i="52"/>
  <c r="H170" i="52" s="1"/>
  <c r="J171" i="52"/>
  <c r="K171" i="52"/>
  <c r="K165" i="52" s="1"/>
  <c r="K162" i="52" s="1"/>
  <c r="M171" i="52"/>
  <c r="N171" i="52"/>
  <c r="J172" i="52"/>
  <c r="K172" i="52"/>
  <c r="M172" i="52"/>
  <c r="N172" i="52"/>
  <c r="L172" i="52" s="1"/>
  <c r="J173" i="52"/>
  <c r="K173" i="52"/>
  <c r="I173" i="52" s="1"/>
  <c r="M173" i="52"/>
  <c r="N173" i="52"/>
  <c r="I175" i="52"/>
  <c r="L175" i="52"/>
  <c r="I176" i="52"/>
  <c r="L176" i="52"/>
  <c r="J177" i="52"/>
  <c r="K177" i="52"/>
  <c r="M177" i="52"/>
  <c r="N177" i="52"/>
  <c r="H178" i="52"/>
  <c r="I178" i="52"/>
  <c r="L178" i="52"/>
  <c r="I179" i="52"/>
  <c r="L179" i="52"/>
  <c r="J180" i="52"/>
  <c r="I180" i="52" s="1"/>
  <c r="K180" i="52"/>
  <c r="M180" i="52"/>
  <c r="M174" i="52" s="1"/>
  <c r="N180" i="52"/>
  <c r="I181" i="52"/>
  <c r="H181" i="52" s="1"/>
  <c r="L181" i="52"/>
  <c r="I182" i="52"/>
  <c r="H182" i="52" s="1"/>
  <c r="L182" i="52"/>
  <c r="J183" i="52"/>
  <c r="I183" i="52" s="1"/>
  <c r="K183" i="52"/>
  <c r="M183" i="52"/>
  <c r="N183" i="52"/>
  <c r="I184" i="52"/>
  <c r="J184" i="52"/>
  <c r="K184" i="52"/>
  <c r="M184" i="52"/>
  <c r="N184" i="52"/>
  <c r="J185" i="52"/>
  <c r="K185" i="52"/>
  <c r="M185" i="52"/>
  <c r="L185" i="52" s="1"/>
  <c r="N185" i="52"/>
  <c r="I187" i="52"/>
  <c r="L187" i="52"/>
  <c r="H187" i="52" s="1"/>
  <c r="I188" i="52"/>
  <c r="L188" i="52"/>
  <c r="J189" i="52"/>
  <c r="K189" i="52"/>
  <c r="M189" i="52"/>
  <c r="N189" i="52"/>
  <c r="I190" i="52"/>
  <c r="H190" i="52" s="1"/>
  <c r="L190" i="52"/>
  <c r="I191" i="52"/>
  <c r="L191" i="52"/>
  <c r="J192" i="52"/>
  <c r="K192" i="52"/>
  <c r="M192" i="52"/>
  <c r="N192" i="52"/>
  <c r="I193" i="52"/>
  <c r="L193" i="52"/>
  <c r="H193" i="52" s="1"/>
  <c r="I194" i="52"/>
  <c r="L194" i="52"/>
  <c r="J195" i="52"/>
  <c r="K195" i="52"/>
  <c r="M195" i="52"/>
  <c r="N195" i="52"/>
  <c r="L195" i="52" s="1"/>
  <c r="I196" i="52"/>
  <c r="L196" i="52"/>
  <c r="I197" i="52"/>
  <c r="L197" i="52"/>
  <c r="H197" i="52" s="1"/>
  <c r="J198" i="52"/>
  <c r="K198" i="52"/>
  <c r="I198" i="52" s="1"/>
  <c r="M198" i="52"/>
  <c r="L198" i="52" s="1"/>
  <c r="N198" i="52"/>
  <c r="I199" i="52"/>
  <c r="J199" i="52"/>
  <c r="K199" i="52"/>
  <c r="M199" i="52"/>
  <c r="N199" i="52"/>
  <c r="J200" i="52"/>
  <c r="K200" i="52"/>
  <c r="M200" i="52"/>
  <c r="N200" i="52"/>
  <c r="I202" i="52"/>
  <c r="H202" i="52" s="1"/>
  <c r="L202" i="52"/>
  <c r="I203" i="52"/>
  <c r="L203" i="52"/>
  <c r="J204" i="52"/>
  <c r="I204" i="52" s="1"/>
  <c r="K204" i="52"/>
  <c r="K201" i="52" s="1"/>
  <c r="M204" i="52"/>
  <c r="N204" i="52"/>
  <c r="N201" i="52" s="1"/>
  <c r="M210" i="52"/>
  <c r="N210" i="52"/>
  <c r="K211" i="52"/>
  <c r="M211" i="52"/>
  <c r="L211" i="52" s="1"/>
  <c r="N211" i="52"/>
  <c r="I214" i="52"/>
  <c r="H214" i="52" s="1"/>
  <c r="L214" i="52"/>
  <c r="I215" i="52"/>
  <c r="L215" i="52"/>
  <c r="J216" i="52"/>
  <c r="K216" i="52"/>
  <c r="M216" i="52"/>
  <c r="L216" i="52" s="1"/>
  <c r="N216" i="52"/>
  <c r="I217" i="52"/>
  <c r="L217" i="52"/>
  <c r="I218" i="52"/>
  <c r="L218" i="52"/>
  <c r="J219" i="52"/>
  <c r="I219" i="52" s="1"/>
  <c r="K219" i="52"/>
  <c r="M219" i="52"/>
  <c r="N219" i="52"/>
  <c r="I220" i="52"/>
  <c r="L220" i="52"/>
  <c r="I221" i="52"/>
  <c r="L221" i="52"/>
  <c r="H221" i="52" s="1"/>
  <c r="I222" i="52"/>
  <c r="J222" i="52"/>
  <c r="K222" i="52"/>
  <c r="M222" i="52"/>
  <c r="N222" i="52"/>
  <c r="I223" i="52"/>
  <c r="H223" i="52" s="1"/>
  <c r="L223" i="52"/>
  <c r="I224" i="52"/>
  <c r="L224" i="52"/>
  <c r="H224" i="52" s="1"/>
  <c r="J225" i="52"/>
  <c r="K225" i="52"/>
  <c r="M225" i="52"/>
  <c r="N225" i="52"/>
  <c r="I226" i="52"/>
  <c r="L226" i="52"/>
  <c r="H226" i="52" s="1"/>
  <c r="I227" i="52"/>
  <c r="L227" i="52"/>
  <c r="J228" i="52"/>
  <c r="K228" i="52"/>
  <c r="L228" i="52"/>
  <c r="M228" i="52"/>
  <c r="N228" i="52"/>
  <c r="I229" i="52"/>
  <c r="L229" i="52"/>
  <c r="I230" i="52"/>
  <c r="L230" i="52"/>
  <c r="J231" i="52"/>
  <c r="I231" i="52" s="1"/>
  <c r="K231" i="52"/>
  <c r="M231" i="52"/>
  <c r="N231" i="52"/>
  <c r="I232" i="52"/>
  <c r="L232" i="52"/>
  <c r="J233" i="52"/>
  <c r="J234" i="52" s="1"/>
  <c r="L233" i="52"/>
  <c r="K234" i="52"/>
  <c r="L234" i="52"/>
  <c r="M234" i="52"/>
  <c r="N234" i="52"/>
  <c r="I235" i="52"/>
  <c r="H235" i="52" s="1"/>
  <c r="L235" i="52"/>
  <c r="I236" i="52"/>
  <c r="L236" i="52"/>
  <c r="J237" i="52"/>
  <c r="I237" i="52" s="1"/>
  <c r="H237" i="52" s="1"/>
  <c r="K237" i="52"/>
  <c r="M237" i="52"/>
  <c r="L237" i="52" s="1"/>
  <c r="N237" i="52"/>
  <c r="I238" i="52"/>
  <c r="H238" i="52" s="1"/>
  <c r="L238" i="52"/>
  <c r="I239" i="52"/>
  <c r="H239" i="52" s="1"/>
  <c r="L239" i="52"/>
  <c r="J240" i="52"/>
  <c r="K240" i="52"/>
  <c r="M240" i="52"/>
  <c r="N240" i="52"/>
  <c r="J241" i="52"/>
  <c r="I241" i="52" s="1"/>
  <c r="H241" i="52" s="1"/>
  <c r="L241" i="52"/>
  <c r="J242" i="52"/>
  <c r="L242" i="52"/>
  <c r="K243" i="52"/>
  <c r="M243" i="52"/>
  <c r="N243" i="52"/>
  <c r="I244" i="52"/>
  <c r="H244" i="52" s="1"/>
  <c r="L244" i="52"/>
  <c r="I245" i="52"/>
  <c r="H245" i="52" s="1"/>
  <c r="L245" i="52"/>
  <c r="J246" i="52"/>
  <c r="I246" i="52" s="1"/>
  <c r="K246" i="52"/>
  <c r="M246" i="52"/>
  <c r="N246" i="52"/>
  <c r="H247" i="52"/>
  <c r="I247" i="52"/>
  <c r="L247" i="52"/>
  <c r="I248" i="52"/>
  <c r="L248" i="52"/>
  <c r="I249" i="52"/>
  <c r="J249" i="52"/>
  <c r="K249" i="52"/>
  <c r="M249" i="52"/>
  <c r="N249" i="52"/>
  <c r="I250" i="52"/>
  <c r="H250" i="52" s="1"/>
  <c r="L250" i="52"/>
  <c r="H251" i="52"/>
  <c r="I251" i="52"/>
  <c r="L251" i="52"/>
  <c r="J252" i="52"/>
  <c r="K252" i="52"/>
  <c r="I252" i="52" s="1"/>
  <c r="H252" i="52" s="1"/>
  <c r="M252" i="52"/>
  <c r="L252" i="52" s="1"/>
  <c r="N252" i="52"/>
  <c r="I253" i="52"/>
  <c r="H253" i="52" s="1"/>
  <c r="L253" i="52"/>
  <c r="I254" i="52"/>
  <c r="L254" i="52"/>
  <c r="J255" i="52"/>
  <c r="I255" i="52" s="1"/>
  <c r="K255" i="52"/>
  <c r="M255" i="52"/>
  <c r="N255" i="52"/>
  <c r="I256" i="52"/>
  <c r="H256" i="52" s="1"/>
  <c r="L256" i="52"/>
  <c r="I257" i="52"/>
  <c r="L257" i="52"/>
  <c r="H257" i="52" s="1"/>
  <c r="J258" i="52"/>
  <c r="K258" i="52"/>
  <c r="M258" i="52"/>
  <c r="N258" i="52"/>
  <c r="H259" i="52"/>
  <c r="I259" i="52"/>
  <c r="L259" i="52"/>
  <c r="I260" i="52"/>
  <c r="H260" i="52" s="1"/>
  <c r="L260" i="52"/>
  <c r="J261" i="52"/>
  <c r="K261" i="52"/>
  <c r="L261" i="52"/>
  <c r="M261" i="52"/>
  <c r="N261" i="52"/>
  <c r="I262" i="52"/>
  <c r="L262" i="52"/>
  <c r="I263" i="52"/>
  <c r="L263" i="52"/>
  <c r="J264" i="52"/>
  <c r="K264" i="52"/>
  <c r="M264" i="52"/>
  <c r="N264" i="52"/>
  <c r="L264" i="52" s="1"/>
  <c r="H265" i="52"/>
  <c r="I265" i="52"/>
  <c r="L265" i="52"/>
  <c r="I266" i="52"/>
  <c r="L266" i="52"/>
  <c r="J267" i="52"/>
  <c r="K267" i="52"/>
  <c r="L267" i="52"/>
  <c r="M267" i="52"/>
  <c r="N267" i="52"/>
  <c r="J268" i="52"/>
  <c r="I268" i="52" s="1"/>
  <c r="H268" i="52" s="1"/>
  <c r="K268" i="52"/>
  <c r="L268" i="52"/>
  <c r="I269" i="52"/>
  <c r="H269" i="52" s="1"/>
  <c r="L269" i="52"/>
  <c r="K270" i="52"/>
  <c r="M270" i="52"/>
  <c r="L270" i="52" s="1"/>
  <c r="N270" i="52"/>
  <c r="I271" i="52"/>
  <c r="L271" i="52"/>
  <c r="I272" i="52"/>
  <c r="H272" i="52" s="1"/>
  <c r="L272" i="52"/>
  <c r="J273" i="52"/>
  <c r="K273" i="52"/>
  <c r="M273" i="52"/>
  <c r="N273" i="52"/>
  <c r="I274" i="52"/>
  <c r="H274" i="52" s="1"/>
  <c r="L274" i="52"/>
  <c r="I275" i="52"/>
  <c r="H275" i="52" s="1"/>
  <c r="L275" i="52"/>
  <c r="J276" i="52"/>
  <c r="I276" i="52" s="1"/>
  <c r="K276" i="52"/>
  <c r="M276" i="52"/>
  <c r="N276" i="52"/>
  <c r="K277" i="52"/>
  <c r="I277" i="52" s="1"/>
  <c r="H277" i="52" s="1"/>
  <c r="L277" i="52"/>
  <c r="I278" i="52"/>
  <c r="L278" i="52"/>
  <c r="J279" i="52"/>
  <c r="M279" i="52"/>
  <c r="L279" i="52" s="1"/>
  <c r="N279" i="52"/>
  <c r="K280" i="52"/>
  <c r="L280" i="52"/>
  <c r="H281" i="52"/>
  <c r="I281" i="52"/>
  <c r="L281" i="52"/>
  <c r="J282" i="52"/>
  <c r="M282" i="52"/>
  <c r="N282" i="52"/>
  <c r="I283" i="52"/>
  <c r="H283" i="52" s="1"/>
  <c r="L283" i="52"/>
  <c r="I284" i="52"/>
  <c r="H284" i="52" s="1"/>
  <c r="L284" i="52"/>
  <c r="J285" i="52"/>
  <c r="I285" i="52" s="1"/>
  <c r="H285" i="52" s="1"/>
  <c r="K285" i="52"/>
  <c r="M285" i="52"/>
  <c r="L285" i="52" s="1"/>
  <c r="N285" i="52"/>
  <c r="I286" i="52"/>
  <c r="L286" i="52"/>
  <c r="I287" i="52"/>
  <c r="L287" i="52"/>
  <c r="H287" i="52" s="1"/>
  <c r="I288" i="52"/>
  <c r="J288" i="52"/>
  <c r="K288" i="52"/>
  <c r="M288" i="52"/>
  <c r="L288" i="52" s="1"/>
  <c r="N288" i="52"/>
  <c r="I289" i="52"/>
  <c r="H289" i="52" s="1"/>
  <c r="L289" i="52"/>
  <c r="I290" i="52"/>
  <c r="H290" i="52" s="1"/>
  <c r="L290" i="52"/>
  <c r="J291" i="52"/>
  <c r="K291" i="52"/>
  <c r="M291" i="52"/>
  <c r="N291" i="52"/>
  <c r="I292" i="52"/>
  <c r="L292" i="52"/>
  <c r="H292" i="52" s="1"/>
  <c r="H293" i="52"/>
  <c r="I293" i="52"/>
  <c r="L293" i="52"/>
  <c r="J294" i="52"/>
  <c r="I294" i="52" s="1"/>
  <c r="K294" i="52"/>
  <c r="M294" i="52"/>
  <c r="N294" i="52"/>
  <c r="H295" i="52"/>
  <c r="I295" i="52"/>
  <c r="L295" i="52"/>
  <c r="I296" i="52"/>
  <c r="L296" i="52"/>
  <c r="J297" i="52"/>
  <c r="I297" i="52" s="1"/>
  <c r="K297" i="52"/>
  <c r="M297" i="52"/>
  <c r="N297" i="52"/>
  <c r="I298" i="52"/>
  <c r="H298" i="52" s="1"/>
  <c r="K298" i="52"/>
  <c r="K300" i="52" s="1"/>
  <c r="L298" i="52"/>
  <c r="I299" i="52"/>
  <c r="L299" i="52"/>
  <c r="J300" i="52"/>
  <c r="M300" i="52"/>
  <c r="N300" i="52"/>
  <c r="I301" i="52"/>
  <c r="H301" i="52" s="1"/>
  <c r="L301" i="52"/>
  <c r="H302" i="52"/>
  <c r="I302" i="52"/>
  <c r="L302" i="52"/>
  <c r="J303" i="52"/>
  <c r="K303" i="52"/>
  <c r="M303" i="52"/>
  <c r="L303" i="52" s="1"/>
  <c r="N303" i="52"/>
  <c r="I304" i="52"/>
  <c r="H304" i="52" s="1"/>
  <c r="L304" i="52"/>
  <c r="I305" i="52"/>
  <c r="H305" i="52" s="1"/>
  <c r="L305" i="52"/>
  <c r="J306" i="52"/>
  <c r="I306" i="52" s="1"/>
  <c r="K306" i="52"/>
  <c r="M306" i="52"/>
  <c r="L306" i="52" s="1"/>
  <c r="H306" i="52" s="1"/>
  <c r="N306" i="52"/>
  <c r="I307" i="52"/>
  <c r="L307" i="52"/>
  <c r="I308" i="52"/>
  <c r="L308" i="52"/>
  <c r="J309" i="52"/>
  <c r="K309" i="52"/>
  <c r="L309" i="52"/>
  <c r="M309" i="52"/>
  <c r="N309" i="52"/>
  <c r="I310" i="52"/>
  <c r="H310" i="52" s="1"/>
  <c r="L310" i="52"/>
  <c r="I311" i="52"/>
  <c r="L311" i="52"/>
  <c r="J312" i="52"/>
  <c r="K312" i="52"/>
  <c r="M312" i="52"/>
  <c r="N312" i="52"/>
  <c r="L312" i="52" s="1"/>
  <c r="I313" i="52"/>
  <c r="H313" i="52" s="1"/>
  <c r="L313" i="52"/>
  <c r="I314" i="52"/>
  <c r="L314" i="52"/>
  <c r="I315" i="52"/>
  <c r="J315" i="52"/>
  <c r="K315" i="52"/>
  <c r="M315" i="52"/>
  <c r="N315" i="52"/>
  <c r="I316" i="52"/>
  <c r="L316" i="52"/>
  <c r="H317" i="52"/>
  <c r="I317" i="52"/>
  <c r="L317" i="52"/>
  <c r="J318" i="52"/>
  <c r="I318" i="52" s="1"/>
  <c r="H318" i="52" s="1"/>
  <c r="K318" i="52"/>
  <c r="M318" i="52"/>
  <c r="L318" i="52" s="1"/>
  <c r="N318" i="52"/>
  <c r="I319" i="52"/>
  <c r="L319" i="52"/>
  <c r="I320" i="52"/>
  <c r="L320" i="52"/>
  <c r="H320" i="52" s="1"/>
  <c r="I321" i="52"/>
  <c r="J321" i="52"/>
  <c r="K321" i="52"/>
  <c r="M321" i="52"/>
  <c r="L321" i="52" s="1"/>
  <c r="N321" i="52"/>
  <c r="I322" i="52"/>
  <c r="H322" i="52" s="1"/>
  <c r="L322" i="52"/>
  <c r="I323" i="52"/>
  <c r="L323" i="52"/>
  <c r="J324" i="52"/>
  <c r="I324" i="52" s="1"/>
  <c r="K324" i="52"/>
  <c r="M324" i="52"/>
  <c r="N324" i="52"/>
  <c r="I325" i="52"/>
  <c r="H325" i="52" s="1"/>
  <c r="L325" i="52"/>
  <c r="I326" i="52"/>
  <c r="L326" i="52"/>
  <c r="J327" i="52"/>
  <c r="I327" i="52" s="1"/>
  <c r="K327" i="52"/>
  <c r="M327" i="52"/>
  <c r="L327" i="52" s="1"/>
  <c r="N327" i="52"/>
  <c r="I328" i="52"/>
  <c r="L328" i="52"/>
  <c r="I329" i="52"/>
  <c r="H329" i="52" s="1"/>
  <c r="L329" i="52"/>
  <c r="J330" i="52"/>
  <c r="I330" i="52" s="1"/>
  <c r="K330" i="52"/>
  <c r="L330" i="52"/>
  <c r="M330" i="52"/>
  <c r="N330" i="52"/>
  <c r="J331" i="52"/>
  <c r="I331" i="52" s="1"/>
  <c r="L331" i="52"/>
  <c r="I332" i="52"/>
  <c r="H332" i="52" s="1"/>
  <c r="L332" i="52"/>
  <c r="J333" i="52"/>
  <c r="K333" i="52"/>
  <c r="M333" i="52"/>
  <c r="N333" i="52"/>
  <c r="I334" i="52"/>
  <c r="H334" i="52" s="1"/>
  <c r="L334" i="52"/>
  <c r="I335" i="52"/>
  <c r="H335" i="52" s="1"/>
  <c r="L335" i="52"/>
  <c r="J336" i="52"/>
  <c r="K336" i="52"/>
  <c r="M336" i="52"/>
  <c r="N336" i="52"/>
  <c r="H337" i="52"/>
  <c r="I337" i="52"/>
  <c r="L337" i="52"/>
  <c r="I338" i="52"/>
  <c r="L338" i="52"/>
  <c r="J339" i="52"/>
  <c r="I339" i="52" s="1"/>
  <c r="K339" i="52"/>
  <c r="M339" i="52"/>
  <c r="N339" i="52"/>
  <c r="I340" i="52"/>
  <c r="H340" i="52" s="1"/>
  <c r="L340" i="52"/>
  <c r="I341" i="52"/>
  <c r="H341" i="52" s="1"/>
  <c r="L341" i="52"/>
  <c r="J342" i="52"/>
  <c r="K342" i="52"/>
  <c r="I342" i="52" s="1"/>
  <c r="H342" i="52" s="1"/>
  <c r="M342" i="52"/>
  <c r="L342" i="52" s="1"/>
  <c r="N342" i="52"/>
  <c r="I343" i="52"/>
  <c r="L343" i="52"/>
  <c r="I344" i="52"/>
  <c r="L344" i="52"/>
  <c r="J345" i="52"/>
  <c r="K345" i="52"/>
  <c r="M345" i="52"/>
  <c r="N345" i="52"/>
  <c r="L345" i="52" s="1"/>
  <c r="I346" i="52"/>
  <c r="H346" i="52" s="1"/>
  <c r="L346" i="52"/>
  <c r="I347" i="52"/>
  <c r="L347" i="52"/>
  <c r="J348" i="52"/>
  <c r="I348" i="52" s="1"/>
  <c r="K348" i="52"/>
  <c r="M348" i="52"/>
  <c r="N348" i="52"/>
  <c r="H349" i="52"/>
  <c r="I349" i="52"/>
  <c r="L349" i="52"/>
  <c r="I350" i="52"/>
  <c r="H350" i="52" s="1"/>
  <c r="L350" i="52"/>
  <c r="J351" i="52"/>
  <c r="I351" i="52" s="1"/>
  <c r="K351" i="52"/>
  <c r="L351" i="52"/>
  <c r="M351" i="52"/>
  <c r="N351" i="52"/>
  <c r="I352" i="52"/>
  <c r="L352" i="52"/>
  <c r="I353" i="52"/>
  <c r="L353" i="52"/>
  <c r="H353" i="52" s="1"/>
  <c r="J354" i="52"/>
  <c r="K354" i="52"/>
  <c r="I354" i="52" s="1"/>
  <c r="H354" i="52" s="1"/>
  <c r="L354" i="52"/>
  <c r="M354" i="52"/>
  <c r="N354" i="52"/>
  <c r="I355" i="52"/>
  <c r="H355" i="52" s="1"/>
  <c r="L355" i="52"/>
  <c r="I356" i="52"/>
  <c r="L356" i="52"/>
  <c r="J357" i="52"/>
  <c r="K357" i="52"/>
  <c r="M357" i="52"/>
  <c r="L357" i="52" s="1"/>
  <c r="N357" i="52"/>
  <c r="I358" i="52"/>
  <c r="L358" i="52"/>
  <c r="H358" i="52" s="1"/>
  <c r="I359" i="52"/>
  <c r="L359" i="52"/>
  <c r="J360" i="52"/>
  <c r="K360" i="52"/>
  <c r="I360" i="52" s="1"/>
  <c r="M360" i="52"/>
  <c r="N360" i="52"/>
  <c r="I361" i="52"/>
  <c r="L361" i="52"/>
  <c r="H361" i="52" s="1"/>
  <c r="I362" i="52"/>
  <c r="H362" i="52" s="1"/>
  <c r="L362" i="52"/>
  <c r="I363" i="52"/>
  <c r="J363" i="52"/>
  <c r="K363" i="52"/>
  <c r="M363" i="52"/>
  <c r="N363" i="52"/>
  <c r="I364" i="52"/>
  <c r="L364" i="52"/>
  <c r="I365" i="52"/>
  <c r="L365" i="52"/>
  <c r="I366" i="52"/>
  <c r="J366" i="52"/>
  <c r="K366" i="52"/>
  <c r="M366" i="52"/>
  <c r="L366" i="52" s="1"/>
  <c r="N366" i="52"/>
  <c r="J367" i="52"/>
  <c r="L367" i="52"/>
  <c r="I368" i="52"/>
  <c r="L368" i="52"/>
  <c r="K369" i="52"/>
  <c r="M369" i="52"/>
  <c r="N369" i="52"/>
  <c r="I370" i="52"/>
  <c r="L370" i="52"/>
  <c r="I371" i="52"/>
  <c r="L371" i="52"/>
  <c r="J372" i="52"/>
  <c r="I372" i="52" s="1"/>
  <c r="K372" i="52"/>
  <c r="M372" i="52"/>
  <c r="N372" i="52"/>
  <c r="L372" i="52" s="1"/>
  <c r="I373" i="52"/>
  <c r="H373" i="52" s="1"/>
  <c r="L373" i="52"/>
  <c r="I374" i="52"/>
  <c r="L374" i="52"/>
  <c r="J375" i="52"/>
  <c r="K375" i="52"/>
  <c r="M375" i="52"/>
  <c r="L375" i="52" s="1"/>
  <c r="N375" i="52"/>
  <c r="I376" i="52"/>
  <c r="L376" i="52"/>
  <c r="I377" i="52"/>
  <c r="H377" i="52" s="1"/>
  <c r="L377" i="52"/>
  <c r="J378" i="52"/>
  <c r="I378" i="52" s="1"/>
  <c r="K378" i="52"/>
  <c r="M378" i="52"/>
  <c r="N378" i="52"/>
  <c r="I379" i="52"/>
  <c r="L379" i="52"/>
  <c r="H379" i="52" s="1"/>
  <c r="H380" i="52"/>
  <c r="I380" i="52"/>
  <c r="L380" i="52"/>
  <c r="I381" i="52"/>
  <c r="J381" i="52"/>
  <c r="K381" i="52"/>
  <c r="M381" i="52"/>
  <c r="N381" i="52"/>
  <c r="J383" i="52"/>
  <c r="K383" i="52"/>
  <c r="M383" i="52"/>
  <c r="N383" i="52"/>
  <c r="J384" i="52"/>
  <c r="I384" i="52" s="1"/>
  <c r="K384" i="52"/>
  <c r="M384" i="52"/>
  <c r="N384" i="52"/>
  <c r="L384" i="52" s="1"/>
  <c r="I387" i="52"/>
  <c r="L387" i="52"/>
  <c r="I388" i="52"/>
  <c r="L388" i="52"/>
  <c r="J389" i="52"/>
  <c r="K389" i="52"/>
  <c r="M389" i="52"/>
  <c r="N389" i="52"/>
  <c r="I390" i="52"/>
  <c r="L390" i="52"/>
  <c r="H391" i="52"/>
  <c r="I391" i="52"/>
  <c r="L391" i="52"/>
  <c r="J392" i="52"/>
  <c r="K392" i="52"/>
  <c r="K385" i="52" s="1"/>
  <c r="M392" i="52"/>
  <c r="N392" i="52"/>
  <c r="J394" i="52"/>
  <c r="K394" i="52"/>
  <c r="L394" i="52"/>
  <c r="M394" i="52"/>
  <c r="N394" i="52"/>
  <c r="I395" i="52"/>
  <c r="J395" i="52"/>
  <c r="K395" i="52"/>
  <c r="M395" i="52"/>
  <c r="N395" i="52"/>
  <c r="I398" i="52"/>
  <c r="L398" i="52"/>
  <c r="I399" i="52"/>
  <c r="L399" i="52"/>
  <c r="H399" i="52" s="1"/>
  <c r="J400" i="52"/>
  <c r="J396" i="52" s="1"/>
  <c r="I396" i="52" s="1"/>
  <c r="K400" i="52"/>
  <c r="K396" i="52" s="1"/>
  <c r="M400" i="52"/>
  <c r="M396" i="52" s="1"/>
  <c r="N400" i="52"/>
  <c r="N396" i="52" s="1"/>
  <c r="J402" i="52"/>
  <c r="I402" i="52" s="1"/>
  <c r="H402" i="52" s="1"/>
  <c r="K402" i="52"/>
  <c r="M402" i="52"/>
  <c r="L402" i="52" s="1"/>
  <c r="N402" i="52"/>
  <c r="J403" i="52"/>
  <c r="K403" i="52"/>
  <c r="M403" i="52"/>
  <c r="N403" i="52"/>
  <c r="I406" i="52"/>
  <c r="H406" i="52" s="1"/>
  <c r="L406" i="52"/>
  <c r="I407" i="52"/>
  <c r="H407" i="52" s="1"/>
  <c r="L407" i="52"/>
  <c r="I408" i="52"/>
  <c r="L408" i="52"/>
  <c r="H409" i="52"/>
  <c r="I409" i="52"/>
  <c r="L409" i="52"/>
  <c r="I410" i="52"/>
  <c r="H410" i="52" s="1"/>
  <c r="L410" i="52"/>
  <c r="J411" i="52"/>
  <c r="I411" i="52" s="1"/>
  <c r="K411" i="52"/>
  <c r="M411" i="52"/>
  <c r="N411" i="52"/>
  <c r="I412" i="52"/>
  <c r="L412" i="52"/>
  <c r="H413" i="52"/>
  <c r="I413" i="52"/>
  <c r="L413" i="52"/>
  <c r="J414" i="52"/>
  <c r="I414" i="52" s="1"/>
  <c r="H414" i="52" s="1"/>
  <c r="K414" i="52"/>
  <c r="M414" i="52"/>
  <c r="L414" i="52" s="1"/>
  <c r="N414" i="52"/>
  <c r="I415" i="52"/>
  <c r="H415" i="52" s="1"/>
  <c r="L415" i="52"/>
  <c r="I416" i="52"/>
  <c r="H416" i="52" s="1"/>
  <c r="L416" i="52"/>
  <c r="J417" i="52"/>
  <c r="K417" i="52"/>
  <c r="M417" i="52"/>
  <c r="N417" i="52"/>
  <c r="H418" i="52"/>
  <c r="I418" i="52"/>
  <c r="L418" i="52"/>
  <c r="I419" i="52"/>
  <c r="L419" i="52"/>
  <c r="J420" i="52"/>
  <c r="K420" i="52"/>
  <c r="M420" i="52"/>
  <c r="N420" i="52"/>
  <c r="I421" i="52"/>
  <c r="H421" i="52" s="1"/>
  <c r="L421" i="52"/>
  <c r="I422" i="52"/>
  <c r="H422" i="52" s="1"/>
  <c r="L422" i="52"/>
  <c r="J423" i="52"/>
  <c r="I423" i="52" s="1"/>
  <c r="K423" i="52"/>
  <c r="M423" i="52"/>
  <c r="L423" i="52" s="1"/>
  <c r="N423" i="52"/>
  <c r="I424" i="52"/>
  <c r="H424" i="52" s="1"/>
  <c r="L424" i="52"/>
  <c r="I425" i="52"/>
  <c r="L425" i="52"/>
  <c r="J426" i="52"/>
  <c r="K426" i="52"/>
  <c r="M426" i="52"/>
  <c r="L426" i="52" s="1"/>
  <c r="N426" i="52"/>
  <c r="I427" i="52"/>
  <c r="L427" i="52"/>
  <c r="H427" i="52" s="1"/>
  <c r="I428" i="52"/>
  <c r="L428" i="52"/>
  <c r="J429" i="52"/>
  <c r="K429" i="52"/>
  <c r="M429" i="52"/>
  <c r="L429" i="52" s="1"/>
  <c r="N429" i="52"/>
  <c r="I430" i="52"/>
  <c r="H430" i="52" s="1"/>
  <c r="L430" i="52"/>
  <c r="I431" i="52"/>
  <c r="L431" i="52"/>
  <c r="J432" i="52"/>
  <c r="I432" i="52" s="1"/>
  <c r="H432" i="52" s="1"/>
  <c r="K432" i="52"/>
  <c r="M432" i="52"/>
  <c r="L432" i="52" s="1"/>
  <c r="N432" i="52"/>
  <c r="I433" i="52"/>
  <c r="L433" i="52"/>
  <c r="I434" i="52"/>
  <c r="H434" i="52" s="1"/>
  <c r="L434" i="52"/>
  <c r="J435" i="52"/>
  <c r="K435" i="52"/>
  <c r="M435" i="52"/>
  <c r="L435" i="52" s="1"/>
  <c r="N435" i="52"/>
  <c r="I436" i="52"/>
  <c r="L436" i="52"/>
  <c r="I437" i="52"/>
  <c r="L437" i="52"/>
  <c r="J438" i="52"/>
  <c r="K438" i="52"/>
  <c r="L438" i="52"/>
  <c r="M438" i="52"/>
  <c r="N438" i="52"/>
  <c r="I439" i="52"/>
  <c r="L439" i="52"/>
  <c r="I440" i="52"/>
  <c r="L440" i="52"/>
  <c r="J441" i="52"/>
  <c r="K441" i="52"/>
  <c r="M441" i="52"/>
  <c r="L441" i="52" s="1"/>
  <c r="N441" i="52"/>
  <c r="I442" i="52"/>
  <c r="H442" i="52" s="1"/>
  <c r="L442" i="52"/>
  <c r="I443" i="52"/>
  <c r="H443" i="52" s="1"/>
  <c r="L443" i="52"/>
  <c r="J444" i="52"/>
  <c r="K444" i="52"/>
  <c r="I444" i="52" s="1"/>
  <c r="M444" i="52"/>
  <c r="N444" i="52"/>
  <c r="I445" i="52"/>
  <c r="L445" i="52"/>
  <c r="H445" i="52" s="1"/>
  <c r="I446" i="52"/>
  <c r="H446" i="52" s="1"/>
  <c r="L446" i="52"/>
  <c r="I447" i="52"/>
  <c r="J447" i="52"/>
  <c r="K447" i="52"/>
  <c r="M447" i="52"/>
  <c r="N447" i="52"/>
  <c r="I448" i="52"/>
  <c r="L448" i="52"/>
  <c r="I449" i="52"/>
  <c r="H449" i="52" s="1"/>
  <c r="L449" i="52"/>
  <c r="J450" i="52"/>
  <c r="I450" i="52" s="1"/>
  <c r="K450" i="52"/>
  <c r="M450" i="52"/>
  <c r="N450" i="52"/>
  <c r="I451" i="52"/>
  <c r="L451" i="52"/>
  <c r="I452" i="52"/>
  <c r="L452" i="52"/>
  <c r="J453" i="52"/>
  <c r="K453" i="52"/>
  <c r="M453" i="52"/>
  <c r="N453" i="52"/>
  <c r="L453" i="52" s="1"/>
  <c r="I454" i="52"/>
  <c r="L454" i="52"/>
  <c r="I455" i="52"/>
  <c r="H455" i="52" s="1"/>
  <c r="L455" i="52"/>
  <c r="J456" i="52"/>
  <c r="I456" i="52" s="1"/>
  <c r="K456" i="52"/>
  <c r="M456" i="52"/>
  <c r="N456" i="52"/>
  <c r="H457" i="52"/>
  <c r="I457" i="52"/>
  <c r="L457" i="52"/>
  <c r="I458" i="52"/>
  <c r="L458" i="52"/>
  <c r="J459" i="52"/>
  <c r="K459" i="52"/>
  <c r="M459" i="52"/>
  <c r="N459" i="52"/>
  <c r="I460" i="52"/>
  <c r="L460" i="52"/>
  <c r="I461" i="52"/>
  <c r="H461" i="52" s="1"/>
  <c r="L461" i="52"/>
  <c r="J462" i="52"/>
  <c r="I462" i="52" s="1"/>
  <c r="H462" i="52" s="1"/>
  <c r="K462" i="52"/>
  <c r="M462" i="52"/>
  <c r="L462" i="52" s="1"/>
  <c r="N462" i="52"/>
  <c r="I463" i="52"/>
  <c r="L463" i="52"/>
  <c r="I464" i="52"/>
  <c r="H464" i="52" s="1"/>
  <c r="L464" i="52"/>
  <c r="J465" i="52"/>
  <c r="K465" i="52"/>
  <c r="M465" i="52"/>
  <c r="N465" i="52"/>
  <c r="I466" i="52"/>
  <c r="H466" i="52" s="1"/>
  <c r="L466" i="52"/>
  <c r="I467" i="52"/>
  <c r="H467" i="52" s="1"/>
  <c r="L467" i="52"/>
  <c r="J468" i="52"/>
  <c r="K468" i="52"/>
  <c r="M468" i="52"/>
  <c r="N468" i="52"/>
  <c r="I469" i="52"/>
  <c r="H469" i="52" s="1"/>
  <c r="L469" i="52"/>
  <c r="I470" i="52"/>
  <c r="L470" i="52"/>
  <c r="J471" i="52"/>
  <c r="I471" i="52" s="1"/>
  <c r="K471" i="52"/>
  <c r="M471" i="52"/>
  <c r="L471" i="52" s="1"/>
  <c r="N471" i="52"/>
  <c r="I472" i="52"/>
  <c r="H472" i="52" s="1"/>
  <c r="L472" i="52"/>
  <c r="I473" i="52"/>
  <c r="L473" i="52"/>
  <c r="J474" i="52"/>
  <c r="K474" i="52"/>
  <c r="M474" i="52"/>
  <c r="L474" i="52" s="1"/>
  <c r="N474" i="52"/>
  <c r="I475" i="52"/>
  <c r="H475" i="52" s="1"/>
  <c r="L475" i="52"/>
  <c r="I476" i="52"/>
  <c r="L476" i="52"/>
  <c r="J477" i="52"/>
  <c r="K477" i="52"/>
  <c r="M477" i="52"/>
  <c r="N477" i="52"/>
  <c r="L477" i="52" s="1"/>
  <c r="I478" i="52"/>
  <c r="H478" i="52" s="1"/>
  <c r="L478" i="52"/>
  <c r="I479" i="52"/>
  <c r="L479" i="52"/>
  <c r="J480" i="52"/>
  <c r="I480" i="52" s="1"/>
  <c r="K480" i="52"/>
  <c r="M480" i="52"/>
  <c r="N480" i="52"/>
  <c r="I481" i="52"/>
  <c r="L481" i="52"/>
  <c r="I482" i="52"/>
  <c r="L482" i="52"/>
  <c r="J483" i="52"/>
  <c r="I483" i="52" s="1"/>
  <c r="K483" i="52"/>
  <c r="M483" i="52"/>
  <c r="L483" i="52" s="1"/>
  <c r="N483" i="52"/>
  <c r="I484" i="52"/>
  <c r="L484" i="52"/>
  <c r="I485" i="52"/>
  <c r="L485" i="52"/>
  <c r="H485" i="52" s="1"/>
  <c r="J486" i="52"/>
  <c r="K486" i="52"/>
  <c r="I486" i="52" s="1"/>
  <c r="M486" i="52"/>
  <c r="L486" i="52" s="1"/>
  <c r="N486" i="52"/>
  <c r="I487" i="52"/>
  <c r="H487" i="52" s="1"/>
  <c r="L487" i="52"/>
  <c r="I488" i="52"/>
  <c r="L488" i="52"/>
  <c r="J489" i="52"/>
  <c r="K489" i="52"/>
  <c r="L489" i="52"/>
  <c r="M489" i="52"/>
  <c r="N489" i="52"/>
  <c r="I490" i="52"/>
  <c r="L490" i="52"/>
  <c r="I491" i="52"/>
  <c r="L491" i="52"/>
  <c r="J492" i="52"/>
  <c r="I492" i="52" s="1"/>
  <c r="K492" i="52"/>
  <c r="M492" i="52"/>
  <c r="N492" i="52"/>
  <c r="I493" i="52"/>
  <c r="L493" i="52"/>
  <c r="I494" i="52"/>
  <c r="L494" i="52"/>
  <c r="H494" i="52" s="1"/>
  <c r="J495" i="52"/>
  <c r="I495" i="52" s="1"/>
  <c r="H495" i="52" s="1"/>
  <c r="K495" i="52"/>
  <c r="M495" i="52"/>
  <c r="L495" i="52" s="1"/>
  <c r="N495" i="52"/>
  <c r="I496" i="52"/>
  <c r="L496" i="52"/>
  <c r="H497" i="52"/>
  <c r="I497" i="52"/>
  <c r="L497" i="52"/>
  <c r="J498" i="52"/>
  <c r="I498" i="52" s="1"/>
  <c r="K498" i="52"/>
  <c r="M498" i="52"/>
  <c r="L498" i="52" s="1"/>
  <c r="N498" i="52"/>
  <c r="I499" i="52"/>
  <c r="L499" i="52"/>
  <c r="I500" i="52"/>
  <c r="L500" i="52"/>
  <c r="J501" i="52"/>
  <c r="I501" i="52" s="1"/>
  <c r="K501" i="52"/>
  <c r="M501" i="52"/>
  <c r="N501" i="52"/>
  <c r="I502" i="52"/>
  <c r="H502" i="52" s="1"/>
  <c r="L502" i="52"/>
  <c r="I503" i="52"/>
  <c r="L503" i="52"/>
  <c r="H503" i="52" s="1"/>
  <c r="J504" i="52"/>
  <c r="K504" i="52"/>
  <c r="M504" i="52"/>
  <c r="N504" i="52"/>
  <c r="I505" i="52"/>
  <c r="H505" i="52" s="1"/>
  <c r="L505" i="52"/>
  <c r="I506" i="52"/>
  <c r="H506" i="52" s="1"/>
  <c r="L506" i="52"/>
  <c r="J507" i="52"/>
  <c r="I507" i="52" s="1"/>
  <c r="K507" i="52"/>
  <c r="M507" i="52"/>
  <c r="N507" i="52"/>
  <c r="I508" i="52"/>
  <c r="L508" i="52"/>
  <c r="H509" i="52"/>
  <c r="I509" i="52"/>
  <c r="L509" i="52"/>
  <c r="J510" i="52"/>
  <c r="I510" i="52" s="1"/>
  <c r="K510" i="52"/>
  <c r="M510" i="52"/>
  <c r="L510" i="52" s="1"/>
  <c r="N510" i="52"/>
  <c r="I511" i="52"/>
  <c r="H511" i="52" s="1"/>
  <c r="L511" i="52"/>
  <c r="I512" i="52"/>
  <c r="H512" i="52" s="1"/>
  <c r="L512" i="52"/>
  <c r="J513" i="52"/>
  <c r="K513" i="52"/>
  <c r="M513" i="52"/>
  <c r="N513" i="52"/>
  <c r="H514" i="52"/>
  <c r="I514" i="52"/>
  <c r="L514" i="52"/>
  <c r="I515" i="52"/>
  <c r="L515" i="52"/>
  <c r="J516" i="52"/>
  <c r="K516" i="52"/>
  <c r="M516" i="52"/>
  <c r="N516" i="52"/>
  <c r="I517" i="52"/>
  <c r="H517" i="52" s="1"/>
  <c r="L517" i="52"/>
  <c r="I518" i="52"/>
  <c r="H518" i="52" s="1"/>
  <c r="L518" i="52"/>
  <c r="J519" i="52"/>
  <c r="I519" i="52" s="1"/>
  <c r="K519" i="52"/>
  <c r="M519" i="52"/>
  <c r="L519" i="52" s="1"/>
  <c r="N519" i="52"/>
  <c r="I520" i="52"/>
  <c r="H520" i="52" s="1"/>
  <c r="L520" i="52"/>
  <c r="I521" i="52"/>
  <c r="L521" i="52"/>
  <c r="J522" i="52"/>
  <c r="K522" i="52"/>
  <c r="M522" i="52"/>
  <c r="L522" i="52" s="1"/>
  <c r="N522" i="52"/>
  <c r="I523" i="52"/>
  <c r="L523" i="52"/>
  <c r="H523" i="52" s="1"/>
  <c r="I524" i="52"/>
  <c r="L524" i="52"/>
  <c r="J525" i="52"/>
  <c r="K525" i="52"/>
  <c r="M525" i="52"/>
  <c r="L525" i="52" s="1"/>
  <c r="N525" i="52"/>
  <c r="I526" i="52"/>
  <c r="H526" i="52" s="1"/>
  <c r="L526" i="52"/>
  <c r="I527" i="52"/>
  <c r="H527" i="52" s="1"/>
  <c r="L527" i="52"/>
  <c r="J528" i="52"/>
  <c r="I528" i="52" s="1"/>
  <c r="K528" i="52"/>
  <c r="M528" i="52"/>
  <c r="L528" i="52" s="1"/>
  <c r="N528" i="52"/>
  <c r="I529" i="52"/>
  <c r="L529" i="52"/>
  <c r="I530" i="52"/>
  <c r="H530" i="52" s="1"/>
  <c r="L530" i="52"/>
  <c r="J531" i="52"/>
  <c r="I531" i="52" s="1"/>
  <c r="K531" i="52"/>
  <c r="M531" i="52"/>
  <c r="N531" i="52"/>
  <c r="L531" i="52" s="1"/>
  <c r="I532" i="52"/>
  <c r="L532" i="52"/>
  <c r="I533" i="52"/>
  <c r="L533" i="52"/>
  <c r="H533" i="52" s="1"/>
  <c r="J534" i="52"/>
  <c r="K534" i="52"/>
  <c r="L534" i="52"/>
  <c r="M534" i="52"/>
  <c r="N534" i="52"/>
  <c r="I535" i="52"/>
  <c r="L535" i="52"/>
  <c r="I536" i="52"/>
  <c r="L536" i="52"/>
  <c r="J537" i="52"/>
  <c r="K537" i="52"/>
  <c r="M537" i="52"/>
  <c r="L537" i="52" s="1"/>
  <c r="N537" i="52"/>
  <c r="I538" i="52"/>
  <c r="H538" i="52" s="1"/>
  <c r="L538" i="52"/>
  <c r="I539" i="52"/>
  <c r="H539" i="52" s="1"/>
  <c r="L539" i="52"/>
  <c r="J540" i="52"/>
  <c r="K540" i="52"/>
  <c r="I540" i="52" s="1"/>
  <c r="M540" i="52"/>
  <c r="N540" i="52"/>
  <c r="I541" i="52"/>
  <c r="L541" i="52"/>
  <c r="H541" i="52" s="1"/>
  <c r="I542" i="52"/>
  <c r="H542" i="52" s="1"/>
  <c r="L542" i="52"/>
  <c r="J543" i="52"/>
  <c r="K543" i="52"/>
  <c r="I543" i="52" s="1"/>
  <c r="M543" i="52"/>
  <c r="N543" i="52"/>
  <c r="I544" i="52"/>
  <c r="L544" i="52"/>
  <c r="I545" i="52"/>
  <c r="H545" i="52" s="1"/>
  <c r="L545" i="52"/>
  <c r="J546" i="52"/>
  <c r="K546" i="52"/>
  <c r="I546" i="52" s="1"/>
  <c r="M546" i="52"/>
  <c r="N546" i="52"/>
  <c r="I547" i="52"/>
  <c r="L547" i="52"/>
  <c r="I548" i="52"/>
  <c r="L548" i="52"/>
  <c r="J549" i="52"/>
  <c r="K549" i="52"/>
  <c r="M549" i="52"/>
  <c r="N549" i="52"/>
  <c r="L549" i="52" s="1"/>
  <c r="I550" i="52"/>
  <c r="L550" i="52"/>
  <c r="I551" i="52"/>
  <c r="H551" i="52" s="1"/>
  <c r="L551" i="52"/>
  <c r="J552" i="52"/>
  <c r="I552" i="52" s="1"/>
  <c r="K552" i="52"/>
  <c r="M552" i="52"/>
  <c r="N552" i="52"/>
  <c r="I553" i="52"/>
  <c r="L553" i="52"/>
  <c r="H553" i="52" s="1"/>
  <c r="I554" i="52"/>
  <c r="L554" i="52"/>
  <c r="J555" i="52"/>
  <c r="K555" i="52"/>
  <c r="M555" i="52"/>
  <c r="N555" i="52"/>
  <c r="I556" i="52"/>
  <c r="L556" i="52"/>
  <c r="I557" i="52"/>
  <c r="H557" i="52" s="1"/>
  <c r="L557" i="52"/>
  <c r="J558" i="52"/>
  <c r="K558" i="52"/>
  <c r="I558" i="52" s="1"/>
  <c r="M558" i="52"/>
  <c r="N558" i="52"/>
  <c r="I559" i="52"/>
  <c r="L559" i="52"/>
  <c r="I560" i="52"/>
  <c r="L560" i="52"/>
  <c r="J561" i="52"/>
  <c r="K561" i="52"/>
  <c r="M561" i="52"/>
  <c r="N561" i="52"/>
  <c r="L561" i="52" s="1"/>
  <c r="I562" i="52"/>
  <c r="H562" i="52" s="1"/>
  <c r="L562" i="52"/>
  <c r="I563" i="52"/>
  <c r="H563" i="52" s="1"/>
  <c r="L563" i="52"/>
  <c r="J564" i="52"/>
  <c r="K564" i="52"/>
  <c r="M564" i="52"/>
  <c r="N564" i="52"/>
  <c r="I565" i="52"/>
  <c r="L565" i="52"/>
  <c r="H565" i="52" s="1"/>
  <c r="I566" i="52"/>
  <c r="L566" i="52"/>
  <c r="J567" i="52"/>
  <c r="K567" i="52"/>
  <c r="M567" i="52"/>
  <c r="N567" i="52"/>
  <c r="I568" i="52"/>
  <c r="L568" i="52"/>
  <c r="I569" i="52"/>
  <c r="L569" i="52"/>
  <c r="H569" i="52" s="1"/>
  <c r="J570" i="52"/>
  <c r="K570" i="52"/>
  <c r="I570" i="52" s="1"/>
  <c r="M570" i="52"/>
  <c r="N570" i="52"/>
  <c r="I571" i="52"/>
  <c r="H571" i="52" s="1"/>
  <c r="L571" i="52"/>
  <c r="I572" i="52"/>
  <c r="L572" i="52"/>
  <c r="J573" i="52"/>
  <c r="K573" i="52"/>
  <c r="M573" i="52"/>
  <c r="N573" i="52"/>
  <c r="L573" i="52" s="1"/>
  <c r="I574" i="52"/>
  <c r="L574" i="52"/>
  <c r="I575" i="52"/>
  <c r="L575" i="52"/>
  <c r="J576" i="52"/>
  <c r="K576" i="52"/>
  <c r="M576" i="52"/>
  <c r="N576" i="52"/>
  <c r="I577" i="52"/>
  <c r="L577" i="52"/>
  <c r="H577" i="52" s="1"/>
  <c r="I578" i="52"/>
  <c r="L578" i="52"/>
  <c r="J579" i="52"/>
  <c r="K579" i="52"/>
  <c r="M579" i="52"/>
  <c r="L579" i="52" s="1"/>
  <c r="N579" i="52"/>
  <c r="I580" i="52"/>
  <c r="L580" i="52"/>
  <c r="I581" i="52"/>
  <c r="L581" i="52"/>
  <c r="J582" i="52"/>
  <c r="K582" i="52"/>
  <c r="I582" i="52" s="1"/>
  <c r="H582" i="52" s="1"/>
  <c r="M582" i="52"/>
  <c r="L582" i="52" s="1"/>
  <c r="N582" i="52"/>
  <c r="I583" i="52"/>
  <c r="H583" i="52" s="1"/>
  <c r="L583" i="52"/>
  <c r="I584" i="52"/>
  <c r="L584" i="52"/>
  <c r="J585" i="52"/>
  <c r="K585" i="52"/>
  <c r="M585" i="52"/>
  <c r="N585" i="52"/>
  <c r="L585" i="52" s="1"/>
  <c r="I586" i="52"/>
  <c r="L586" i="52"/>
  <c r="I587" i="52"/>
  <c r="L587" i="52"/>
  <c r="J588" i="52"/>
  <c r="I588" i="52" s="1"/>
  <c r="K588" i="52"/>
  <c r="M588" i="52"/>
  <c r="N588" i="52"/>
  <c r="I589" i="52"/>
  <c r="L589" i="52"/>
  <c r="H590" i="52"/>
  <c r="I590" i="52"/>
  <c r="L590" i="52"/>
  <c r="J591" i="52"/>
  <c r="I591" i="52" s="1"/>
  <c r="K591" i="52"/>
  <c r="M591" i="52"/>
  <c r="L591" i="52" s="1"/>
  <c r="N591" i="52"/>
  <c r="I592" i="52"/>
  <c r="L592" i="52"/>
  <c r="I593" i="52"/>
  <c r="L593" i="52"/>
  <c r="H593" i="52" s="1"/>
  <c r="J594" i="52"/>
  <c r="I594" i="52" s="1"/>
  <c r="H594" i="52" s="1"/>
  <c r="K594" i="52"/>
  <c r="M594" i="52"/>
  <c r="L594" i="52" s="1"/>
  <c r="N594" i="52"/>
  <c r="I595" i="52"/>
  <c r="H595" i="52" s="1"/>
  <c r="L595" i="52"/>
  <c r="I596" i="52"/>
  <c r="L596" i="52"/>
  <c r="J597" i="52"/>
  <c r="I597" i="52" s="1"/>
  <c r="K597" i="52"/>
  <c r="M597" i="52"/>
  <c r="N597" i="52"/>
  <c r="I598" i="52"/>
  <c r="H598" i="52" s="1"/>
  <c r="L598" i="52"/>
  <c r="H599" i="52"/>
  <c r="I599" i="52"/>
  <c r="L599" i="52"/>
  <c r="J600" i="52"/>
  <c r="K600" i="52"/>
  <c r="M600" i="52"/>
  <c r="N600" i="52"/>
  <c r="I601" i="52"/>
  <c r="H601" i="52" s="1"/>
  <c r="L601" i="52"/>
  <c r="I602" i="52"/>
  <c r="H602" i="52" s="1"/>
  <c r="L602" i="52"/>
  <c r="J603" i="52"/>
  <c r="I603" i="52" s="1"/>
  <c r="K603" i="52"/>
  <c r="M603" i="52"/>
  <c r="L603" i="52" s="1"/>
  <c r="N603" i="52"/>
  <c r="I604" i="52"/>
  <c r="L604" i="52"/>
  <c r="I605" i="52"/>
  <c r="L605" i="52"/>
  <c r="H605" i="52" s="1"/>
  <c r="J606" i="52"/>
  <c r="I606" i="52" s="1"/>
  <c r="H606" i="52" s="1"/>
  <c r="K606" i="52"/>
  <c r="M606" i="52"/>
  <c r="L606" i="52" s="1"/>
  <c r="N606" i="52"/>
  <c r="I607" i="52"/>
  <c r="H607" i="52" s="1"/>
  <c r="L607" i="52"/>
  <c r="I608" i="52"/>
  <c r="H608" i="52" s="1"/>
  <c r="L608" i="52"/>
  <c r="J609" i="52"/>
  <c r="K609" i="52"/>
  <c r="M609" i="52"/>
  <c r="N609" i="52"/>
  <c r="I610" i="52"/>
  <c r="L610" i="52"/>
  <c r="H610" i="52" s="1"/>
  <c r="I611" i="52"/>
  <c r="L611" i="52"/>
  <c r="J612" i="52"/>
  <c r="K612" i="52"/>
  <c r="M612" i="52"/>
  <c r="N612" i="52"/>
  <c r="I613" i="52"/>
  <c r="H613" i="52" s="1"/>
  <c r="L613" i="52"/>
  <c r="I614" i="52"/>
  <c r="H614" i="52" s="1"/>
  <c r="L614" i="52"/>
  <c r="J615" i="52"/>
  <c r="I615" i="52" s="1"/>
  <c r="K615" i="52"/>
  <c r="M615" i="52"/>
  <c r="L615" i="52" s="1"/>
  <c r="N615" i="52"/>
  <c r="I616" i="52"/>
  <c r="H616" i="52" s="1"/>
  <c r="L616" i="52"/>
  <c r="I617" i="52"/>
  <c r="L617" i="52"/>
  <c r="J618" i="52"/>
  <c r="K618" i="52"/>
  <c r="M618" i="52"/>
  <c r="L618" i="52" s="1"/>
  <c r="N618" i="52"/>
  <c r="H619" i="52"/>
  <c r="I619" i="52"/>
  <c r="L619" i="52"/>
  <c r="I620" i="52"/>
  <c r="L620" i="52"/>
  <c r="J621" i="52"/>
  <c r="K621" i="52"/>
  <c r="M621" i="52"/>
  <c r="L621" i="52" s="1"/>
  <c r="N621" i="52"/>
  <c r="I622" i="52"/>
  <c r="H622" i="52" s="1"/>
  <c r="L622" i="52"/>
  <c r="I623" i="52"/>
  <c r="L623" i="52"/>
  <c r="J624" i="52"/>
  <c r="I624" i="52" s="1"/>
  <c r="K624" i="52"/>
  <c r="M624" i="52"/>
  <c r="L624" i="52" s="1"/>
  <c r="N624" i="52"/>
  <c r="I625" i="52"/>
  <c r="L625" i="52"/>
  <c r="I626" i="52"/>
  <c r="H626" i="52" s="1"/>
  <c r="L626" i="52"/>
  <c r="J627" i="52"/>
  <c r="K627" i="52"/>
  <c r="M627" i="52"/>
  <c r="L627" i="52" s="1"/>
  <c r="N627" i="52"/>
  <c r="I628" i="52"/>
  <c r="L628" i="52"/>
  <c r="I629" i="52"/>
  <c r="L629" i="52"/>
  <c r="J630" i="52"/>
  <c r="K630" i="52"/>
  <c r="M630" i="52"/>
  <c r="N630" i="52"/>
  <c r="L630" i="52" s="1"/>
  <c r="I631" i="52"/>
  <c r="L631" i="52"/>
  <c r="I632" i="52"/>
  <c r="L632" i="52"/>
  <c r="J633" i="52"/>
  <c r="K633" i="52"/>
  <c r="M633" i="52"/>
  <c r="L633" i="52" s="1"/>
  <c r="N633" i="52"/>
  <c r="I634" i="52"/>
  <c r="H634" i="52" s="1"/>
  <c r="L634" i="52"/>
  <c r="I635" i="52"/>
  <c r="H635" i="52" s="1"/>
  <c r="L635" i="52"/>
  <c r="J636" i="52"/>
  <c r="K636" i="52"/>
  <c r="I636" i="52" s="1"/>
  <c r="M636" i="52"/>
  <c r="N636" i="52"/>
  <c r="I637" i="52"/>
  <c r="L637" i="52"/>
  <c r="H637" i="52" s="1"/>
  <c r="I638" i="52"/>
  <c r="H638" i="52" s="1"/>
  <c r="L638" i="52"/>
  <c r="I639" i="52"/>
  <c r="J639" i="52"/>
  <c r="K639" i="52"/>
  <c r="M639" i="52"/>
  <c r="N639" i="52"/>
  <c r="I640" i="52"/>
  <c r="L640" i="52"/>
  <c r="I641" i="52"/>
  <c r="H641" i="52" s="1"/>
  <c r="L641" i="52"/>
  <c r="J642" i="52"/>
  <c r="K642" i="52"/>
  <c r="I642" i="52" s="1"/>
  <c r="M642" i="52"/>
  <c r="N642" i="52"/>
  <c r="I643" i="52"/>
  <c r="L643" i="52"/>
  <c r="I644" i="52"/>
  <c r="L644" i="52"/>
  <c r="J645" i="52"/>
  <c r="K645" i="52"/>
  <c r="M645" i="52"/>
  <c r="N645" i="52"/>
  <c r="L645" i="52" s="1"/>
  <c r="I646" i="52"/>
  <c r="L646" i="52"/>
  <c r="I647" i="52"/>
  <c r="H647" i="52" s="1"/>
  <c r="L647" i="52"/>
  <c r="J648" i="52"/>
  <c r="I648" i="52" s="1"/>
  <c r="K648" i="52"/>
  <c r="M648" i="52"/>
  <c r="N648" i="52"/>
  <c r="H649" i="52"/>
  <c r="I649" i="52"/>
  <c r="L649" i="52"/>
  <c r="I650" i="52"/>
  <c r="L650" i="52"/>
  <c r="J651" i="52"/>
  <c r="K651" i="52"/>
  <c r="M651" i="52"/>
  <c r="N651" i="52"/>
  <c r="I652" i="52"/>
  <c r="L652" i="52"/>
  <c r="I653" i="52"/>
  <c r="H653" i="52" s="1"/>
  <c r="L653" i="52"/>
  <c r="J654" i="52"/>
  <c r="K654" i="52"/>
  <c r="I654" i="52" s="1"/>
  <c r="M654" i="52"/>
  <c r="N654" i="52"/>
  <c r="I655" i="52"/>
  <c r="L655" i="52"/>
  <c r="I656" i="52"/>
  <c r="L656" i="52"/>
  <c r="J657" i="52"/>
  <c r="K657" i="52"/>
  <c r="M657" i="52"/>
  <c r="N657" i="52"/>
  <c r="L657" i="52" s="1"/>
  <c r="I658" i="52"/>
  <c r="H658" i="52" s="1"/>
  <c r="L658" i="52"/>
  <c r="I659" i="52"/>
  <c r="H659" i="52" s="1"/>
  <c r="L659" i="52"/>
  <c r="J660" i="52"/>
  <c r="I660" i="52" s="1"/>
  <c r="K660" i="52"/>
  <c r="M660" i="52"/>
  <c r="N660" i="52"/>
  <c r="H661" i="52"/>
  <c r="I661" i="52"/>
  <c r="L661" i="52"/>
  <c r="I662" i="52"/>
  <c r="L662" i="52"/>
  <c r="J663" i="52"/>
  <c r="K663" i="52"/>
  <c r="M663" i="52"/>
  <c r="N663" i="52"/>
  <c r="I664" i="52"/>
  <c r="L664" i="52"/>
  <c r="I665" i="52"/>
  <c r="L665" i="52"/>
  <c r="H665" i="52" s="1"/>
  <c r="J666" i="52"/>
  <c r="K666" i="52"/>
  <c r="I666" i="52" s="1"/>
  <c r="M666" i="52"/>
  <c r="N666" i="52"/>
  <c r="I667" i="52"/>
  <c r="H667" i="52" s="1"/>
  <c r="L667" i="52"/>
  <c r="I668" i="52"/>
  <c r="L668" i="52"/>
  <c r="J669" i="52"/>
  <c r="K669" i="52"/>
  <c r="L669" i="52"/>
  <c r="M669" i="52"/>
  <c r="N669" i="52"/>
  <c r="I670" i="52"/>
  <c r="L670" i="52"/>
  <c r="I671" i="52"/>
  <c r="L671" i="52"/>
  <c r="J672" i="52"/>
  <c r="K672" i="52"/>
  <c r="M672" i="52"/>
  <c r="N672" i="52"/>
  <c r="I673" i="52"/>
  <c r="L673" i="52"/>
  <c r="H673" i="52" s="1"/>
  <c r="I674" i="52"/>
  <c r="L674" i="52"/>
  <c r="J675" i="52"/>
  <c r="K675" i="52"/>
  <c r="M675" i="52"/>
  <c r="L675" i="52" s="1"/>
  <c r="N675" i="52"/>
  <c r="I676" i="52"/>
  <c r="L676" i="52"/>
  <c r="I677" i="52"/>
  <c r="L677" i="52"/>
  <c r="H677" i="52" s="1"/>
  <c r="J678" i="52"/>
  <c r="K678" i="52"/>
  <c r="M678" i="52"/>
  <c r="L678" i="52" s="1"/>
  <c r="N678" i="52"/>
  <c r="I679" i="52"/>
  <c r="H679" i="52" s="1"/>
  <c r="L679" i="52"/>
  <c r="I680" i="52"/>
  <c r="L680" i="52"/>
  <c r="J681" i="52"/>
  <c r="K681" i="52"/>
  <c r="M681" i="52"/>
  <c r="L681" i="52" s="1"/>
  <c r="N681" i="52"/>
  <c r="I682" i="52"/>
  <c r="L682" i="52"/>
  <c r="I683" i="52"/>
  <c r="H683" i="52" s="1"/>
  <c r="L683" i="52"/>
  <c r="J684" i="52"/>
  <c r="I684" i="52" s="1"/>
  <c r="K684" i="52"/>
  <c r="M684" i="52"/>
  <c r="N684" i="52"/>
  <c r="I685" i="52"/>
  <c r="L685" i="52"/>
  <c r="H685" i="52" s="1"/>
  <c r="I686" i="52"/>
  <c r="L686" i="52"/>
  <c r="H686" i="52" s="1"/>
  <c r="I687" i="52"/>
  <c r="J687" i="52"/>
  <c r="K687" i="52"/>
  <c r="M687" i="52"/>
  <c r="N687" i="52"/>
  <c r="I688" i="52"/>
  <c r="L688" i="52"/>
  <c r="I689" i="52"/>
  <c r="H689" i="52" s="1"/>
  <c r="L689" i="52"/>
  <c r="J690" i="52"/>
  <c r="I690" i="52" s="1"/>
  <c r="K690" i="52"/>
  <c r="M690" i="52"/>
  <c r="L690" i="52" s="1"/>
  <c r="N690" i="52"/>
  <c r="I691" i="52"/>
  <c r="L691" i="52"/>
  <c r="I692" i="52"/>
  <c r="L692" i="52"/>
  <c r="J693" i="52"/>
  <c r="K693" i="52"/>
  <c r="M693" i="52"/>
  <c r="N693" i="52"/>
  <c r="I694" i="52"/>
  <c r="L694" i="52"/>
  <c r="I695" i="52"/>
  <c r="L695" i="52"/>
  <c r="H695" i="52" s="1"/>
  <c r="J696" i="52"/>
  <c r="I696" i="52" s="1"/>
  <c r="K696" i="52"/>
  <c r="M696" i="52"/>
  <c r="N696" i="52"/>
  <c r="H697" i="52"/>
  <c r="I697" i="52"/>
  <c r="L697" i="52"/>
  <c r="I698" i="52"/>
  <c r="L698" i="52"/>
  <c r="J699" i="52"/>
  <c r="I699" i="52" s="1"/>
  <c r="K699" i="52"/>
  <c r="M699" i="52"/>
  <c r="N699" i="52"/>
  <c r="E11" i="51"/>
  <c r="G12" i="51"/>
  <c r="E13" i="51"/>
  <c r="G13" i="51"/>
  <c r="G14" i="51"/>
  <c r="E16" i="51"/>
  <c r="F16" i="51"/>
  <c r="G17" i="51"/>
  <c r="G18" i="51"/>
  <c r="G19" i="51"/>
  <c r="G20" i="51"/>
  <c r="G21" i="51"/>
  <c r="G22" i="51"/>
  <c r="G23" i="51"/>
  <c r="E24" i="51"/>
  <c r="G24" i="51" s="1"/>
  <c r="F24" i="51"/>
  <c r="F15" i="51" s="1"/>
  <c r="G25" i="51"/>
  <c r="F27" i="51"/>
  <c r="G28" i="51"/>
  <c r="E30" i="51"/>
  <c r="F30" i="51"/>
  <c r="F29" i="51" s="1"/>
  <c r="G31" i="51"/>
  <c r="G32" i="51"/>
  <c r="E34" i="51"/>
  <c r="G34" i="51" s="1"/>
  <c r="G35" i="51"/>
  <c r="E37" i="51"/>
  <c r="E36" i="51" s="1"/>
  <c r="G36" i="51" s="1"/>
  <c r="G37" i="51"/>
  <c r="G38" i="51"/>
  <c r="E40" i="51"/>
  <c r="G41" i="51"/>
  <c r="E42" i="51"/>
  <c r="F42" i="51"/>
  <c r="G43" i="51"/>
  <c r="G44" i="51"/>
  <c r="G45" i="51"/>
  <c r="G46" i="51"/>
  <c r="G47" i="51"/>
  <c r="G48" i="51"/>
  <c r="G49" i="51"/>
  <c r="G50" i="51"/>
  <c r="E51" i="51"/>
  <c r="F51" i="51"/>
  <c r="G52" i="51"/>
  <c r="G53" i="51"/>
  <c r="G54" i="51"/>
  <c r="G55" i="51"/>
  <c r="G56" i="51"/>
  <c r="G57" i="51"/>
  <c r="G58" i="51"/>
  <c r="G59" i="51"/>
  <c r="G60" i="51"/>
  <c r="G61" i="51"/>
  <c r="E63" i="51"/>
  <c r="G63" i="51" s="1"/>
  <c r="G64" i="51"/>
  <c r="E66" i="51"/>
  <c r="F66" i="51"/>
  <c r="G67" i="51"/>
  <c r="E68" i="51"/>
  <c r="G68" i="51"/>
  <c r="G69" i="51"/>
  <c r="E70" i="51"/>
  <c r="F70" i="51"/>
  <c r="G70" i="51"/>
  <c r="G71" i="51"/>
  <c r="G72" i="51"/>
  <c r="F73" i="51"/>
  <c r="E74" i="51"/>
  <c r="E73" i="51" s="1"/>
  <c r="F74" i="51"/>
  <c r="G75" i="51"/>
  <c r="G76" i="51"/>
  <c r="E13" i="50"/>
  <c r="F13" i="50"/>
  <c r="G13" i="50"/>
  <c r="H13" i="50"/>
  <c r="I13" i="50"/>
  <c r="J13" i="50"/>
  <c r="K13" i="50"/>
  <c r="L13" i="50"/>
  <c r="M13" i="50"/>
  <c r="N13" i="50"/>
  <c r="O13" i="50"/>
  <c r="P13" i="50"/>
  <c r="Q13" i="50"/>
  <c r="E14" i="50"/>
  <c r="F14" i="50"/>
  <c r="H14" i="50"/>
  <c r="J14" i="50"/>
  <c r="K14" i="50"/>
  <c r="L14" i="50"/>
  <c r="M14" i="50"/>
  <c r="N14" i="50"/>
  <c r="O14" i="50"/>
  <c r="P14" i="50"/>
  <c r="Q14" i="50"/>
  <c r="D17" i="50"/>
  <c r="D18" i="50"/>
  <c r="E19" i="50"/>
  <c r="F19" i="50"/>
  <c r="G19" i="50"/>
  <c r="H19" i="50"/>
  <c r="H15" i="50" s="1"/>
  <c r="I19" i="50"/>
  <c r="J19" i="50"/>
  <c r="K19" i="50"/>
  <c r="L19" i="50"/>
  <c r="L15" i="50" s="1"/>
  <c r="M19" i="50"/>
  <c r="N19" i="50"/>
  <c r="O19" i="50"/>
  <c r="P19" i="50"/>
  <c r="Q19" i="50"/>
  <c r="D21" i="50"/>
  <c r="D22" i="50"/>
  <c r="E23" i="50"/>
  <c r="F23" i="50"/>
  <c r="G23" i="50"/>
  <c r="H23" i="50"/>
  <c r="I23" i="50"/>
  <c r="J23" i="50"/>
  <c r="K23" i="50"/>
  <c r="L23" i="50"/>
  <c r="M23" i="50"/>
  <c r="N23" i="50"/>
  <c r="O23" i="50"/>
  <c r="P23" i="50"/>
  <c r="Q23" i="50"/>
  <c r="D25" i="50"/>
  <c r="D26" i="50"/>
  <c r="E27" i="50"/>
  <c r="F27" i="50"/>
  <c r="G27" i="50"/>
  <c r="H27" i="50"/>
  <c r="I27" i="50"/>
  <c r="J27" i="50"/>
  <c r="K27" i="50"/>
  <c r="L27" i="50"/>
  <c r="M27" i="50"/>
  <c r="N27" i="50"/>
  <c r="O27" i="50"/>
  <c r="P27" i="50"/>
  <c r="Q27" i="50"/>
  <c r="D29" i="50"/>
  <c r="D30" i="50"/>
  <c r="E31" i="50"/>
  <c r="F31" i="50"/>
  <c r="G31" i="50"/>
  <c r="H31" i="50"/>
  <c r="I31" i="50"/>
  <c r="J31" i="50"/>
  <c r="K31" i="50"/>
  <c r="L31" i="50"/>
  <c r="M31" i="50"/>
  <c r="N31" i="50"/>
  <c r="O31" i="50"/>
  <c r="P31" i="50"/>
  <c r="Q31" i="50"/>
  <c r="D33" i="50"/>
  <c r="D34" i="50"/>
  <c r="E35" i="50"/>
  <c r="F35" i="50"/>
  <c r="G35" i="50"/>
  <c r="H35" i="50"/>
  <c r="I35" i="50"/>
  <c r="J35" i="50"/>
  <c r="K35" i="50"/>
  <c r="L35" i="50"/>
  <c r="M35" i="50"/>
  <c r="N35" i="50"/>
  <c r="O35" i="50"/>
  <c r="P35" i="50"/>
  <c r="Q35" i="50"/>
  <c r="D37" i="50"/>
  <c r="D38" i="50"/>
  <c r="E39" i="50"/>
  <c r="F39" i="50"/>
  <c r="G39" i="50"/>
  <c r="H39" i="50"/>
  <c r="I39" i="50"/>
  <c r="J39" i="50"/>
  <c r="K39" i="50"/>
  <c r="L39" i="50"/>
  <c r="M39" i="50"/>
  <c r="N39" i="50"/>
  <c r="O39" i="50"/>
  <c r="P39" i="50"/>
  <c r="Q39" i="50"/>
  <c r="D41" i="50"/>
  <c r="D42" i="50"/>
  <c r="E43" i="50"/>
  <c r="F43" i="50"/>
  <c r="G43" i="50"/>
  <c r="H43" i="50"/>
  <c r="I43" i="50"/>
  <c r="J43" i="50"/>
  <c r="K43" i="50"/>
  <c r="L43" i="50"/>
  <c r="M43" i="50"/>
  <c r="N43" i="50"/>
  <c r="O43" i="50"/>
  <c r="P43" i="50"/>
  <c r="Q43" i="50"/>
  <c r="D45" i="50"/>
  <c r="D46" i="50"/>
  <c r="E47" i="50"/>
  <c r="F47" i="50"/>
  <c r="G47" i="50"/>
  <c r="H47" i="50"/>
  <c r="I47" i="50"/>
  <c r="J47" i="50"/>
  <c r="K47" i="50"/>
  <c r="L47" i="50"/>
  <c r="M47" i="50"/>
  <c r="N47" i="50"/>
  <c r="O47" i="50"/>
  <c r="P47" i="50"/>
  <c r="Q47" i="50"/>
  <c r="D49" i="50"/>
  <c r="D50" i="50"/>
  <c r="E51" i="50"/>
  <c r="F51" i="50"/>
  <c r="G51" i="50"/>
  <c r="H51" i="50"/>
  <c r="I51" i="50"/>
  <c r="J51" i="50"/>
  <c r="K51" i="50"/>
  <c r="L51" i="50"/>
  <c r="M51" i="50"/>
  <c r="N51" i="50"/>
  <c r="O51" i="50"/>
  <c r="P51" i="50"/>
  <c r="Q51" i="50"/>
  <c r="D53" i="50"/>
  <c r="D54" i="50"/>
  <c r="E55" i="50"/>
  <c r="F55" i="50"/>
  <c r="G55" i="50"/>
  <c r="H55" i="50"/>
  <c r="I55" i="50"/>
  <c r="J55" i="50"/>
  <c r="K55" i="50"/>
  <c r="L55" i="50"/>
  <c r="M55" i="50"/>
  <c r="N55" i="50"/>
  <c r="O55" i="50"/>
  <c r="P55" i="50"/>
  <c r="Q55" i="50"/>
  <c r="D57" i="50"/>
  <c r="D58" i="50"/>
  <c r="E59" i="50"/>
  <c r="F59" i="50"/>
  <c r="G59" i="50"/>
  <c r="H59" i="50"/>
  <c r="I59" i="50"/>
  <c r="J59" i="50"/>
  <c r="K59" i="50"/>
  <c r="L59" i="50"/>
  <c r="M59" i="50"/>
  <c r="N59" i="50"/>
  <c r="O59" i="50"/>
  <c r="P59" i="50"/>
  <c r="Q59" i="50"/>
  <c r="D61" i="50"/>
  <c r="D62" i="50"/>
  <c r="E63" i="50"/>
  <c r="F63" i="50"/>
  <c r="G63" i="50"/>
  <c r="H63" i="50"/>
  <c r="I63" i="50"/>
  <c r="J63" i="50"/>
  <c r="K63" i="50"/>
  <c r="L63" i="50"/>
  <c r="M63" i="50"/>
  <c r="N63" i="50"/>
  <c r="O63" i="50"/>
  <c r="P63" i="50"/>
  <c r="Q63" i="50"/>
  <c r="D65" i="50"/>
  <c r="G66" i="50"/>
  <c r="D66" i="50" s="1"/>
  <c r="I66" i="50"/>
  <c r="I14" i="50" s="1"/>
  <c r="E67" i="50"/>
  <c r="F67" i="50"/>
  <c r="G67" i="50"/>
  <c r="H67" i="50"/>
  <c r="J67" i="50"/>
  <c r="K67" i="50"/>
  <c r="L67" i="50"/>
  <c r="M67" i="50"/>
  <c r="N67" i="50"/>
  <c r="O67" i="50"/>
  <c r="P67" i="50"/>
  <c r="Q67" i="50"/>
  <c r="D69" i="50"/>
  <c r="D70" i="50"/>
  <c r="E71" i="50"/>
  <c r="F71" i="50"/>
  <c r="G71" i="50"/>
  <c r="H71" i="50"/>
  <c r="I71" i="50"/>
  <c r="J71" i="50"/>
  <c r="K71" i="50"/>
  <c r="L71" i="50"/>
  <c r="M71" i="50"/>
  <c r="N71" i="50"/>
  <c r="O71" i="50"/>
  <c r="P71" i="50"/>
  <c r="Q71" i="50"/>
  <c r="D73" i="50"/>
  <c r="D74" i="50"/>
  <c r="E75" i="50"/>
  <c r="F75" i="50"/>
  <c r="G75" i="50"/>
  <c r="H75" i="50"/>
  <c r="I75" i="50"/>
  <c r="J75" i="50"/>
  <c r="K75" i="50"/>
  <c r="L75" i="50"/>
  <c r="M75" i="50"/>
  <c r="N75" i="50"/>
  <c r="O75" i="50"/>
  <c r="P75" i="50"/>
  <c r="Q75" i="50"/>
  <c r="D77" i="50"/>
  <c r="D78" i="50"/>
  <c r="E79" i="50"/>
  <c r="F79" i="50"/>
  <c r="G79" i="50"/>
  <c r="H79" i="50"/>
  <c r="I79" i="50"/>
  <c r="J79" i="50"/>
  <c r="K79" i="50"/>
  <c r="L79" i="50"/>
  <c r="M79" i="50"/>
  <c r="N79" i="50"/>
  <c r="O79" i="50"/>
  <c r="P79" i="50"/>
  <c r="Q79" i="50"/>
  <c r="D81" i="50"/>
  <c r="D82" i="50"/>
  <c r="E83" i="50"/>
  <c r="F83" i="50"/>
  <c r="G83" i="50"/>
  <c r="H83" i="50"/>
  <c r="I83" i="50"/>
  <c r="J83" i="50"/>
  <c r="K83" i="50"/>
  <c r="L83" i="50"/>
  <c r="M83" i="50"/>
  <c r="N83" i="50"/>
  <c r="O83" i="50"/>
  <c r="P83" i="50"/>
  <c r="Q83" i="50"/>
  <c r="D85" i="50"/>
  <c r="D86" i="50"/>
  <c r="E87" i="50"/>
  <c r="F87" i="50"/>
  <c r="G87" i="50"/>
  <c r="H87" i="50"/>
  <c r="I87" i="50"/>
  <c r="J87" i="50"/>
  <c r="K87" i="50"/>
  <c r="L87" i="50"/>
  <c r="M87" i="50"/>
  <c r="N87" i="50"/>
  <c r="O87" i="50"/>
  <c r="P87" i="50"/>
  <c r="Q87" i="50"/>
  <c r="D89" i="50"/>
  <c r="D90" i="50"/>
  <c r="E91" i="50"/>
  <c r="F91" i="50"/>
  <c r="G91" i="50"/>
  <c r="H91" i="50"/>
  <c r="I91" i="50"/>
  <c r="J91" i="50"/>
  <c r="K91" i="50"/>
  <c r="L91" i="50"/>
  <c r="M91" i="50"/>
  <c r="N91" i="50"/>
  <c r="O91" i="50"/>
  <c r="P91" i="50"/>
  <c r="Q91" i="50"/>
  <c r="D93" i="50"/>
  <c r="D94" i="50"/>
  <c r="E95" i="50"/>
  <c r="F95" i="50"/>
  <c r="G95" i="50"/>
  <c r="H95" i="50"/>
  <c r="I95" i="50"/>
  <c r="J95" i="50"/>
  <c r="K95" i="50"/>
  <c r="L95" i="50"/>
  <c r="M95" i="50"/>
  <c r="N95" i="50"/>
  <c r="O95" i="50"/>
  <c r="P95" i="50"/>
  <c r="Q95" i="50"/>
  <c r="D97" i="50"/>
  <c r="D98" i="50"/>
  <c r="E99" i="50"/>
  <c r="F99" i="50"/>
  <c r="G99" i="50"/>
  <c r="H99" i="50"/>
  <c r="I99" i="50"/>
  <c r="J99" i="50"/>
  <c r="K99" i="50"/>
  <c r="L99" i="50"/>
  <c r="M99" i="50"/>
  <c r="N99" i="50"/>
  <c r="O99" i="50"/>
  <c r="P99" i="50"/>
  <c r="Q99" i="50"/>
  <c r="D101" i="50"/>
  <c r="D102" i="50"/>
  <c r="E103" i="50"/>
  <c r="F103" i="50"/>
  <c r="G103" i="50"/>
  <c r="H103" i="50"/>
  <c r="I103" i="50"/>
  <c r="J103" i="50"/>
  <c r="K103" i="50"/>
  <c r="L103" i="50"/>
  <c r="M103" i="50"/>
  <c r="N103" i="50"/>
  <c r="O103" i="50"/>
  <c r="P103" i="50"/>
  <c r="Q103" i="50"/>
  <c r="E105" i="50"/>
  <c r="F105" i="50"/>
  <c r="G105" i="50"/>
  <c r="G157" i="50" s="1"/>
  <c r="H105" i="50"/>
  <c r="I105" i="50"/>
  <c r="J105" i="50"/>
  <c r="K105" i="50"/>
  <c r="K157" i="50" s="1"/>
  <c r="L105" i="50"/>
  <c r="M105" i="50"/>
  <c r="N105" i="50"/>
  <c r="O105" i="50"/>
  <c r="P105" i="50"/>
  <c r="Q105" i="50"/>
  <c r="E106" i="50"/>
  <c r="F106" i="50"/>
  <c r="H106" i="50"/>
  <c r="K106" i="50"/>
  <c r="L106" i="50"/>
  <c r="N106" i="50"/>
  <c r="O106" i="50"/>
  <c r="O158" i="50" s="1"/>
  <c r="P106" i="50"/>
  <c r="Q106" i="50"/>
  <c r="D109" i="50"/>
  <c r="D110" i="50"/>
  <c r="E111" i="50"/>
  <c r="F111" i="50"/>
  <c r="G111" i="50"/>
  <c r="H111" i="50"/>
  <c r="I111" i="50"/>
  <c r="J111" i="50"/>
  <c r="K111" i="50"/>
  <c r="L111" i="50"/>
  <c r="M111" i="50"/>
  <c r="N111" i="50"/>
  <c r="O111" i="50"/>
  <c r="P111" i="50"/>
  <c r="P107" i="50" s="1"/>
  <c r="Q111" i="50"/>
  <c r="D113" i="50"/>
  <c r="D114" i="50"/>
  <c r="E115" i="50"/>
  <c r="F115" i="50"/>
  <c r="G115" i="50"/>
  <c r="H115" i="50"/>
  <c r="I115" i="50"/>
  <c r="J115" i="50"/>
  <c r="K115" i="50"/>
  <c r="L115" i="50"/>
  <c r="M115" i="50"/>
  <c r="N115" i="50"/>
  <c r="O115" i="50"/>
  <c r="P115" i="50"/>
  <c r="Q115" i="50"/>
  <c r="D117" i="50"/>
  <c r="J118" i="50"/>
  <c r="J106" i="50" s="1"/>
  <c r="E119" i="50"/>
  <c r="F119" i="50"/>
  <c r="G119" i="50"/>
  <c r="H119" i="50"/>
  <c r="I119" i="50"/>
  <c r="K119" i="50"/>
  <c r="L119" i="50"/>
  <c r="M119" i="50"/>
  <c r="N119" i="50"/>
  <c r="O119" i="50"/>
  <c r="P119" i="50"/>
  <c r="Q119" i="50"/>
  <c r="D121" i="50"/>
  <c r="D122" i="50"/>
  <c r="E123" i="50"/>
  <c r="F123" i="50"/>
  <c r="G123" i="50"/>
  <c r="H123" i="50"/>
  <c r="I123" i="50"/>
  <c r="J123" i="50"/>
  <c r="K123" i="50"/>
  <c r="L123" i="50"/>
  <c r="M123" i="50"/>
  <c r="N123" i="50"/>
  <c r="O123" i="50"/>
  <c r="P123" i="50"/>
  <c r="Q123" i="50"/>
  <c r="D125" i="50"/>
  <c r="M126" i="50"/>
  <c r="M106" i="50" s="1"/>
  <c r="E127" i="50"/>
  <c r="F127" i="50"/>
  <c r="G127" i="50"/>
  <c r="H127" i="50"/>
  <c r="I127" i="50"/>
  <c r="J127" i="50"/>
  <c r="K127" i="50"/>
  <c r="L127" i="50"/>
  <c r="M127" i="50"/>
  <c r="N127" i="50"/>
  <c r="O127" i="50"/>
  <c r="P127" i="50"/>
  <c r="Q127" i="50"/>
  <c r="D129" i="50"/>
  <c r="D130" i="50"/>
  <c r="E131" i="50"/>
  <c r="F131" i="50"/>
  <c r="G131" i="50"/>
  <c r="H131" i="50"/>
  <c r="I131" i="50"/>
  <c r="J131" i="50"/>
  <c r="K131" i="50"/>
  <c r="L131" i="50"/>
  <c r="M131" i="50"/>
  <c r="N131" i="50"/>
  <c r="O131" i="50"/>
  <c r="P131" i="50"/>
  <c r="Q131" i="50"/>
  <c r="D133" i="50"/>
  <c r="D134" i="50"/>
  <c r="G134" i="50"/>
  <c r="G106" i="50" s="1"/>
  <c r="I134" i="50"/>
  <c r="I106" i="50" s="1"/>
  <c r="E135" i="50"/>
  <c r="F135" i="50"/>
  <c r="G135" i="50"/>
  <c r="H135" i="50"/>
  <c r="I135" i="50"/>
  <c r="J135" i="50"/>
  <c r="K135" i="50"/>
  <c r="L135" i="50"/>
  <c r="M135" i="50"/>
  <c r="N135" i="50"/>
  <c r="O135" i="50"/>
  <c r="P135" i="50"/>
  <c r="Q135" i="50"/>
  <c r="D137" i="50"/>
  <c r="D138" i="50"/>
  <c r="E139" i="50"/>
  <c r="F139" i="50"/>
  <c r="G139" i="50"/>
  <c r="H139" i="50"/>
  <c r="I139" i="50"/>
  <c r="J139" i="50"/>
  <c r="K139" i="50"/>
  <c r="L139" i="50"/>
  <c r="M139" i="50"/>
  <c r="N139" i="50"/>
  <c r="O139" i="50"/>
  <c r="P139" i="50"/>
  <c r="Q139" i="50"/>
  <c r="D141" i="50"/>
  <c r="D142" i="50"/>
  <c r="E143" i="50"/>
  <c r="F143" i="50"/>
  <c r="G143" i="50"/>
  <c r="H143" i="50"/>
  <c r="I143" i="50"/>
  <c r="J143" i="50"/>
  <c r="K143" i="50"/>
  <c r="L143" i="50"/>
  <c r="M143" i="50"/>
  <c r="N143" i="50"/>
  <c r="O143" i="50"/>
  <c r="P143" i="50"/>
  <c r="Q143" i="50"/>
  <c r="D145" i="50"/>
  <c r="D146" i="50"/>
  <c r="E147" i="50"/>
  <c r="F147" i="50"/>
  <c r="G147" i="50"/>
  <c r="H147" i="50"/>
  <c r="I147" i="50"/>
  <c r="J147" i="50"/>
  <c r="K147" i="50"/>
  <c r="L147" i="50"/>
  <c r="M147" i="50"/>
  <c r="N147" i="50"/>
  <c r="O147" i="50"/>
  <c r="P147" i="50"/>
  <c r="Q147" i="50"/>
  <c r="D149" i="50"/>
  <c r="D150" i="50"/>
  <c r="E151" i="50"/>
  <c r="F151" i="50"/>
  <c r="G151" i="50"/>
  <c r="H151" i="50"/>
  <c r="I151" i="50"/>
  <c r="J151" i="50"/>
  <c r="K151" i="50"/>
  <c r="L151" i="50"/>
  <c r="M151" i="50"/>
  <c r="N151" i="50"/>
  <c r="O151" i="50"/>
  <c r="P151" i="50"/>
  <c r="Q151" i="50"/>
  <c r="D153" i="50"/>
  <c r="D154" i="50"/>
  <c r="E155" i="50"/>
  <c r="F155" i="50"/>
  <c r="G155" i="50"/>
  <c r="H155" i="50"/>
  <c r="I155" i="50"/>
  <c r="J155" i="50"/>
  <c r="K155" i="50"/>
  <c r="L155" i="50"/>
  <c r="M155" i="50"/>
  <c r="N155" i="50"/>
  <c r="O155" i="50"/>
  <c r="P155" i="50"/>
  <c r="Q155" i="50"/>
  <c r="E157" i="50"/>
  <c r="F157" i="50"/>
  <c r="I157" i="50"/>
  <c r="J157" i="50"/>
  <c r="N157" i="50"/>
  <c r="O157" i="50"/>
  <c r="O159" i="50" s="1"/>
  <c r="E158" i="50"/>
  <c r="H158" i="50"/>
  <c r="K158" i="50"/>
  <c r="L158" i="50"/>
  <c r="P158" i="50"/>
  <c r="Q158" i="50"/>
  <c r="L396" i="52" l="1"/>
  <c r="O107" i="50"/>
  <c r="K107" i="50"/>
  <c r="K15" i="50"/>
  <c r="Q15" i="50"/>
  <c r="P15" i="50"/>
  <c r="M158" i="50"/>
  <c r="H531" i="52"/>
  <c r="H483" i="52"/>
  <c r="H470" i="52"/>
  <c r="H463" i="52"/>
  <c r="H458" i="52"/>
  <c r="H454" i="52"/>
  <c r="I453" i="52"/>
  <c r="H453" i="52" s="1"/>
  <c r="L447" i="52"/>
  <c r="H437" i="52"/>
  <c r="I435" i="52"/>
  <c r="H435" i="52" s="1"/>
  <c r="H433" i="52"/>
  <c r="H425" i="52"/>
  <c r="H372" i="52"/>
  <c r="H366" i="52"/>
  <c r="L360" i="52"/>
  <c r="D118" i="50"/>
  <c r="D115" i="50"/>
  <c r="O15" i="50"/>
  <c r="H698" i="52"/>
  <c r="H694" i="52"/>
  <c r="I693" i="52"/>
  <c r="L687" i="52"/>
  <c r="H687" i="52" s="1"/>
  <c r="I675" i="52"/>
  <c r="H675" i="52" s="1"/>
  <c r="I672" i="52"/>
  <c r="H670" i="52"/>
  <c r="L666" i="52"/>
  <c r="L663" i="52"/>
  <c r="H662" i="52"/>
  <c r="H655" i="52"/>
  <c r="H650" i="52"/>
  <c r="H646" i="52"/>
  <c r="I645" i="52"/>
  <c r="H645" i="52" s="1"/>
  <c r="L639" i="52"/>
  <c r="H639" i="52" s="1"/>
  <c r="H629" i="52"/>
  <c r="I627" i="52"/>
  <c r="H627" i="52" s="1"/>
  <c r="H625" i="52"/>
  <c r="H617" i="52"/>
  <c r="I600" i="52"/>
  <c r="H589" i="52"/>
  <c r="H587" i="52"/>
  <c r="H578" i="52"/>
  <c r="L576" i="52"/>
  <c r="H568" i="52"/>
  <c r="I567" i="52"/>
  <c r="H560" i="52"/>
  <c r="L558" i="52"/>
  <c r="H558" i="52" s="1"/>
  <c r="I555" i="52"/>
  <c r="L546" i="52"/>
  <c r="H546" i="52" s="1"/>
  <c r="H535" i="52"/>
  <c r="I534" i="52"/>
  <c r="H534" i="52" s="1"/>
  <c r="I522" i="52"/>
  <c r="H515" i="52"/>
  <c r="L513" i="52"/>
  <c r="L501" i="52"/>
  <c r="H501" i="52" s="1"/>
  <c r="H490" i="52"/>
  <c r="I474" i="52"/>
  <c r="L465" i="52"/>
  <c r="I107" i="50"/>
  <c r="D126" i="50"/>
  <c r="J119" i="50"/>
  <c r="G15" i="50"/>
  <c r="I67" i="50"/>
  <c r="G74" i="51"/>
  <c r="E62" i="51"/>
  <c r="G62" i="51" s="1"/>
  <c r="G51" i="51"/>
  <c r="E33" i="51"/>
  <c r="G33" i="51" s="1"/>
  <c r="L693" i="52"/>
  <c r="H682" i="52"/>
  <c r="H624" i="52"/>
  <c r="H519" i="52"/>
  <c r="H486" i="52"/>
  <c r="H482" i="52"/>
  <c r="L480" i="52"/>
  <c r="H480" i="52" s="1"/>
  <c r="I459" i="52"/>
  <c r="L450" i="52"/>
  <c r="H450" i="52" s="1"/>
  <c r="H439" i="52"/>
  <c r="I438" i="52"/>
  <c r="H438" i="52" s="1"/>
  <c r="I426" i="52"/>
  <c r="H419" i="52"/>
  <c r="L417" i="52"/>
  <c r="M207" i="52"/>
  <c r="I392" i="52"/>
  <c r="L381" i="52"/>
  <c r="H381" i="52" s="1"/>
  <c r="H371" i="52"/>
  <c r="L369" i="52"/>
  <c r="H365" i="52"/>
  <c r="H343" i="52"/>
  <c r="D105" i="50"/>
  <c r="I158" i="50"/>
  <c r="I159" i="50" s="1"/>
  <c r="M15" i="50"/>
  <c r="Q157" i="50"/>
  <c r="M157" i="50"/>
  <c r="M159" i="50" s="1"/>
  <c r="F39" i="51"/>
  <c r="I678" i="52"/>
  <c r="H678" i="52" s="1"/>
  <c r="H674" i="52"/>
  <c r="L672" i="52"/>
  <c r="H664" i="52"/>
  <c r="I663" i="52"/>
  <c r="H656" i="52"/>
  <c r="L654" i="52"/>
  <c r="H654" i="52" s="1"/>
  <c r="I651" i="52"/>
  <c r="L642" i="52"/>
  <c r="H642" i="52" s="1"/>
  <c r="H631" i="52"/>
  <c r="I630" i="52"/>
  <c r="H630" i="52" s="1"/>
  <c r="I618" i="52"/>
  <c r="H611" i="52"/>
  <c r="L609" i="52"/>
  <c r="L597" i="52"/>
  <c r="H597" i="52" s="1"/>
  <c r="H586" i="52"/>
  <c r="H581" i="52"/>
  <c r="I579" i="52"/>
  <c r="H579" i="52" s="1"/>
  <c r="I576" i="52"/>
  <c r="H574" i="52"/>
  <c r="L570" i="52"/>
  <c r="H570" i="52" s="1"/>
  <c r="L567" i="52"/>
  <c r="H566" i="52"/>
  <c r="H559" i="52"/>
  <c r="H554" i="52"/>
  <c r="H550" i="52"/>
  <c r="I549" i="52"/>
  <c r="L543" i="52"/>
  <c r="H543" i="52" s="1"/>
  <c r="H529" i="52"/>
  <c r="H521" i="52"/>
  <c r="I504" i="52"/>
  <c r="H493" i="52"/>
  <c r="H491" i="52"/>
  <c r="H481" i="52"/>
  <c r="H473" i="52"/>
  <c r="I468" i="52"/>
  <c r="H447" i="52"/>
  <c r="L400" i="52"/>
  <c r="H390" i="52"/>
  <c r="H103" i="52"/>
  <c r="I234" i="52"/>
  <c r="H234" i="52" s="1"/>
  <c r="I233" i="52"/>
  <c r="H233" i="52" s="1"/>
  <c r="H229" i="52"/>
  <c r="L225" i="52"/>
  <c r="L222" i="52"/>
  <c r="K111" i="52"/>
  <c r="H101" i="52"/>
  <c r="H91" i="52"/>
  <c r="H40" i="52"/>
  <c r="L27" i="52"/>
  <c r="H20" i="52"/>
  <c r="H376" i="52"/>
  <c r="H370" i="52"/>
  <c r="L363" i="52"/>
  <c r="H363" i="52" s="1"/>
  <c r="H356" i="52"/>
  <c r="L348" i="52"/>
  <c r="H348" i="52" s="1"/>
  <c r="H347" i="52"/>
  <c r="L339" i="52"/>
  <c r="H339" i="52" s="1"/>
  <c r="H338" i="52"/>
  <c r="I333" i="52"/>
  <c r="H333" i="52" s="1"/>
  <c r="H328" i="52"/>
  <c r="H316" i="52"/>
  <c r="I309" i="52"/>
  <c r="H309" i="52" s="1"/>
  <c r="H296" i="52"/>
  <c r="H278" i="52"/>
  <c r="J270" i="52"/>
  <c r="I270" i="52" s="1"/>
  <c r="H263" i="52"/>
  <c r="I261" i="52"/>
  <c r="H261" i="52" s="1"/>
  <c r="L258" i="52"/>
  <c r="L255" i="52"/>
  <c r="H255" i="52" s="1"/>
  <c r="H248" i="52"/>
  <c r="I240" i="52"/>
  <c r="H230" i="52"/>
  <c r="I228" i="52"/>
  <c r="I225" i="52"/>
  <c r="H217" i="52"/>
  <c r="L199" i="52"/>
  <c r="I195" i="52"/>
  <c r="H195" i="52" s="1"/>
  <c r="K186" i="52"/>
  <c r="H179" i="52"/>
  <c r="I172" i="52"/>
  <c r="I171" i="52"/>
  <c r="I168" i="52"/>
  <c r="H168" i="52" s="1"/>
  <c r="L149" i="52"/>
  <c r="I141" i="52"/>
  <c r="L137" i="52"/>
  <c r="H137" i="52" s="1"/>
  <c r="I123" i="52"/>
  <c r="H123" i="52" s="1"/>
  <c r="I92" i="52"/>
  <c r="L81" i="52"/>
  <c r="H74" i="52"/>
  <c r="K72" i="52"/>
  <c r="I72" i="52" s="1"/>
  <c r="H70" i="52"/>
  <c r="L51" i="52"/>
  <c r="L48" i="52"/>
  <c r="H48" i="52" s="1"/>
  <c r="I36" i="52"/>
  <c r="I27" i="52"/>
  <c r="G11" i="53"/>
  <c r="H351" i="52"/>
  <c r="L333" i="52"/>
  <c r="H330" i="52"/>
  <c r="H327" i="52"/>
  <c r="I300" i="52"/>
  <c r="L273" i="52"/>
  <c r="L243" i="52"/>
  <c r="H232" i="52"/>
  <c r="H203" i="52"/>
  <c r="H176" i="52"/>
  <c r="H172" i="52"/>
  <c r="L160" i="52"/>
  <c r="I163" i="52"/>
  <c r="H155" i="52"/>
  <c r="H145" i="52"/>
  <c r="L142" i="52"/>
  <c r="I129" i="52"/>
  <c r="L124" i="52"/>
  <c r="H124" i="52" s="1"/>
  <c r="M110" i="52"/>
  <c r="L110" i="52" s="1"/>
  <c r="L104" i="52"/>
  <c r="I97" i="52"/>
  <c r="H86" i="52"/>
  <c r="I83" i="52"/>
  <c r="H83" i="52" s="1"/>
  <c r="I77" i="52"/>
  <c r="H67" i="52"/>
  <c r="H52" i="52"/>
  <c r="I51" i="52"/>
  <c r="H41" i="52"/>
  <c r="H38" i="52"/>
  <c r="L36" i="52"/>
  <c r="H36" i="52" s="1"/>
  <c r="F11" i="53"/>
  <c r="H326" i="52"/>
  <c r="L324" i="52"/>
  <c r="H324" i="52" s="1"/>
  <c r="H321" i="52"/>
  <c r="H308" i="52"/>
  <c r="L300" i="52"/>
  <c r="L291" i="52"/>
  <c r="I264" i="52"/>
  <c r="H264" i="52" s="1"/>
  <c r="H222" i="52"/>
  <c r="H220" i="52"/>
  <c r="N206" i="52"/>
  <c r="J201" i="52"/>
  <c r="I201" i="52" s="1"/>
  <c r="H194" i="52"/>
  <c r="H191" i="52"/>
  <c r="K174" i="52"/>
  <c r="L173" i="52"/>
  <c r="H173" i="52" s="1"/>
  <c r="L163" i="52"/>
  <c r="H163" i="52" s="1"/>
  <c r="I159" i="52"/>
  <c r="H159" i="52" s="1"/>
  <c r="H118" i="52"/>
  <c r="L97" i="52"/>
  <c r="I90" i="52"/>
  <c r="H90" i="52" s="1"/>
  <c r="L83" i="52"/>
  <c r="H54" i="52"/>
  <c r="D155" i="50"/>
  <c r="D139" i="50"/>
  <c r="G107" i="50"/>
  <c r="D55" i="50"/>
  <c r="D39" i="50"/>
  <c r="D23" i="50"/>
  <c r="E29" i="51"/>
  <c r="G29" i="51" s="1"/>
  <c r="G30" i="51"/>
  <c r="M206" i="52"/>
  <c r="L206" i="52" s="1"/>
  <c r="L210" i="52"/>
  <c r="N153" i="52"/>
  <c r="N150" i="52" s="1"/>
  <c r="L156" i="52"/>
  <c r="M148" i="52"/>
  <c r="L148" i="52" s="1"/>
  <c r="H148" i="52" s="1"/>
  <c r="L151" i="52"/>
  <c r="H151" i="52" s="1"/>
  <c r="L15" i="52"/>
  <c r="D143" i="50"/>
  <c r="D119" i="50"/>
  <c r="D59" i="50"/>
  <c r="D43" i="50"/>
  <c r="D27" i="50"/>
  <c r="G66" i="51"/>
  <c r="E65" i="51"/>
  <c r="E15" i="51"/>
  <c r="G15" i="51" s="1"/>
  <c r="G16" i="51"/>
  <c r="L651" i="52"/>
  <c r="H643" i="52"/>
  <c r="H618" i="52"/>
  <c r="H575" i="52"/>
  <c r="I516" i="52"/>
  <c r="L459" i="52"/>
  <c r="H451" i="52"/>
  <c r="H426" i="52"/>
  <c r="H396" i="52"/>
  <c r="J385" i="52"/>
  <c r="I385" i="52" s="1"/>
  <c r="I389" i="52"/>
  <c r="H389" i="52" s="1"/>
  <c r="H387" i="52"/>
  <c r="H368" i="52"/>
  <c r="M72" i="52"/>
  <c r="L72" i="52" s="1"/>
  <c r="L75" i="52"/>
  <c r="D147" i="50"/>
  <c r="D123" i="50"/>
  <c r="Q107" i="50"/>
  <c r="E107" i="50"/>
  <c r="D99" i="50"/>
  <c r="D83" i="50"/>
  <c r="D67" i="50"/>
  <c r="D63" i="50"/>
  <c r="D47" i="50"/>
  <c r="D31" i="50"/>
  <c r="N15" i="50"/>
  <c r="J15" i="50"/>
  <c r="F15" i="50"/>
  <c r="G73" i="51"/>
  <c r="L699" i="52"/>
  <c r="H699" i="52" s="1"/>
  <c r="H691" i="52"/>
  <c r="H666" i="52"/>
  <c r="H623" i="52"/>
  <c r="H615" i="52"/>
  <c r="H603" i="52"/>
  <c r="I564" i="52"/>
  <c r="H528" i="52"/>
  <c r="L507" i="52"/>
  <c r="H507" i="52" s="1"/>
  <c r="H499" i="52"/>
  <c r="H474" i="52"/>
  <c r="H431" i="52"/>
  <c r="H423" i="52"/>
  <c r="N385" i="52"/>
  <c r="L389" i="52"/>
  <c r="H360" i="52"/>
  <c r="I336" i="52"/>
  <c r="K207" i="52"/>
  <c r="I200" i="52"/>
  <c r="L192" i="52"/>
  <c r="M186" i="52"/>
  <c r="J165" i="52"/>
  <c r="J161" i="52"/>
  <c r="I161" i="52" s="1"/>
  <c r="I164" i="52"/>
  <c r="J149" i="52"/>
  <c r="I149" i="52" s="1"/>
  <c r="H149" i="52" s="1"/>
  <c r="I152" i="52"/>
  <c r="J132" i="52"/>
  <c r="I132" i="52" s="1"/>
  <c r="I135" i="52"/>
  <c r="N84" i="52"/>
  <c r="L87" i="52"/>
  <c r="D151" i="50"/>
  <c r="D135" i="50"/>
  <c r="M107" i="50"/>
  <c r="L107" i="50"/>
  <c r="H107" i="50"/>
  <c r="D111" i="50"/>
  <c r="K159" i="50"/>
  <c r="D103" i="50"/>
  <c r="D87" i="50"/>
  <c r="D71" i="50"/>
  <c r="D51" i="50"/>
  <c r="D35" i="50"/>
  <c r="I15" i="50"/>
  <c r="E15" i="50"/>
  <c r="D19" i="50"/>
  <c r="Q159" i="50"/>
  <c r="D13" i="50"/>
  <c r="D157" i="50" s="1"/>
  <c r="E39" i="51"/>
  <c r="G39" i="51" s="1"/>
  <c r="G40" i="51"/>
  <c r="G27" i="51"/>
  <c r="F26" i="51"/>
  <c r="G26" i="51" s="1"/>
  <c r="E10" i="51"/>
  <c r="G11" i="51"/>
  <c r="H690" i="52"/>
  <c r="H671" i="52"/>
  <c r="H663" i="52"/>
  <c r="H651" i="52"/>
  <c r="I612" i="52"/>
  <c r="H591" i="52"/>
  <c r="H576" i="52"/>
  <c r="L555" i="52"/>
  <c r="H555" i="52" s="1"/>
  <c r="H549" i="52"/>
  <c r="H547" i="52"/>
  <c r="H522" i="52"/>
  <c r="H510" i="52"/>
  <c r="H498" i="52"/>
  <c r="H479" i="52"/>
  <c r="H471" i="52"/>
  <c r="H459" i="52"/>
  <c r="I420" i="52"/>
  <c r="K404" i="52"/>
  <c r="N404" i="52"/>
  <c r="J404" i="52"/>
  <c r="I403" i="52"/>
  <c r="H384" i="52"/>
  <c r="I383" i="52"/>
  <c r="J369" i="52"/>
  <c r="I369" i="52" s="1"/>
  <c r="H369" i="52" s="1"/>
  <c r="I367" i="52"/>
  <c r="H367" i="52" s="1"/>
  <c r="H288" i="52"/>
  <c r="H270" i="52"/>
  <c r="I242" i="52"/>
  <c r="H242" i="52" s="1"/>
  <c r="J211" i="52"/>
  <c r="J243" i="52"/>
  <c r="I243" i="52" s="1"/>
  <c r="H243" i="52" s="1"/>
  <c r="H228" i="52"/>
  <c r="H225" i="52"/>
  <c r="H199" i="52"/>
  <c r="H198" i="52"/>
  <c r="I156" i="52"/>
  <c r="H156" i="52" s="1"/>
  <c r="J153" i="52"/>
  <c r="H15" i="52"/>
  <c r="L684" i="52"/>
  <c r="H684" i="52" s="1"/>
  <c r="H676" i="52"/>
  <c r="H668" i="52"/>
  <c r="I657" i="52"/>
  <c r="H657" i="52" s="1"/>
  <c r="L636" i="52"/>
  <c r="H636" i="52" s="1"/>
  <c r="H628" i="52"/>
  <c r="H620" i="52"/>
  <c r="I609" i="52"/>
  <c r="H609" i="52" s="1"/>
  <c r="L588" i="52"/>
  <c r="H588" i="52" s="1"/>
  <c r="H580" i="52"/>
  <c r="H572" i="52"/>
  <c r="I561" i="52"/>
  <c r="H561" i="52" s="1"/>
  <c r="L540" i="52"/>
  <c r="H540" i="52" s="1"/>
  <c r="H532" i="52"/>
  <c r="H524" i="52"/>
  <c r="I513" i="52"/>
  <c r="H513" i="52" s="1"/>
  <c r="L492" i="52"/>
  <c r="H492" i="52" s="1"/>
  <c r="H484" i="52"/>
  <c r="H476" i="52"/>
  <c r="I465" i="52"/>
  <c r="H465" i="52" s="1"/>
  <c r="L444" i="52"/>
  <c r="H444" i="52" s="1"/>
  <c r="H436" i="52"/>
  <c r="H428" i="52"/>
  <c r="I417" i="52"/>
  <c r="H417" i="52" s="1"/>
  <c r="M404" i="52"/>
  <c r="L404" i="52" s="1"/>
  <c r="H398" i="52"/>
  <c r="L378" i="52"/>
  <c r="H378" i="52" s="1"/>
  <c r="H359" i="52"/>
  <c r="H352" i="52"/>
  <c r="H344" i="52"/>
  <c r="H331" i="52"/>
  <c r="L315" i="52"/>
  <c r="H315" i="52" s="1"/>
  <c r="H311" i="52"/>
  <c r="I303" i="52"/>
  <c r="H303" i="52" s="1"/>
  <c r="I273" i="52"/>
  <c r="H273" i="52" s="1"/>
  <c r="H266" i="52"/>
  <c r="I258" i="52"/>
  <c r="H258" i="52" s="1"/>
  <c r="L249" i="52"/>
  <c r="H249" i="52" s="1"/>
  <c r="L231" i="52"/>
  <c r="H231" i="52" s="1"/>
  <c r="J210" i="52"/>
  <c r="N186" i="52"/>
  <c r="J186" i="52"/>
  <c r="I186" i="52" s="1"/>
  <c r="I189" i="52"/>
  <c r="L184" i="52"/>
  <c r="H184" i="52" s="1"/>
  <c r="H160" i="52"/>
  <c r="N138" i="52"/>
  <c r="L141" i="52"/>
  <c r="H141" i="52" s="1"/>
  <c r="N132" i="52"/>
  <c r="L132" i="52" s="1"/>
  <c r="L135" i="52"/>
  <c r="J114" i="52"/>
  <c r="I117" i="52"/>
  <c r="J109" i="52"/>
  <c r="I109" i="52" s="1"/>
  <c r="K99" i="52"/>
  <c r="I99" i="52" s="1"/>
  <c r="H99" i="52" s="1"/>
  <c r="I102" i="52"/>
  <c r="H102" i="52" s="1"/>
  <c r="H80" i="52"/>
  <c r="I65" i="52"/>
  <c r="K60" i="52"/>
  <c r="K56" i="52" s="1"/>
  <c r="D127" i="50"/>
  <c r="N107" i="50"/>
  <c r="J107" i="50"/>
  <c r="F107" i="50"/>
  <c r="D106" i="50"/>
  <c r="D91" i="50"/>
  <c r="D75" i="50"/>
  <c r="G14" i="50"/>
  <c r="G158" i="50" s="1"/>
  <c r="G159" i="50" s="1"/>
  <c r="P157" i="50"/>
  <c r="P159" i="50" s="1"/>
  <c r="L157" i="50"/>
  <c r="L159" i="50" s="1"/>
  <c r="H157" i="50"/>
  <c r="H159" i="50" s="1"/>
  <c r="G42" i="51"/>
  <c r="L696" i="52"/>
  <c r="H696" i="52" s="1"/>
  <c r="H688" i="52"/>
  <c r="H680" i="52"/>
  <c r="I669" i="52"/>
  <c r="H669" i="52" s="1"/>
  <c r="L648" i="52"/>
  <c r="H648" i="52" s="1"/>
  <c r="H640" i="52"/>
  <c r="H632" i="52"/>
  <c r="I621" i="52"/>
  <c r="H621" i="52" s="1"/>
  <c r="L600" i="52"/>
  <c r="H600" i="52" s="1"/>
  <c r="H592" i="52"/>
  <c r="H584" i="52"/>
  <c r="I573" i="52"/>
  <c r="H573" i="52" s="1"/>
  <c r="L552" i="52"/>
  <c r="H552" i="52" s="1"/>
  <c r="H544" i="52"/>
  <c r="H536" i="52"/>
  <c r="I525" i="52"/>
  <c r="H525" i="52" s="1"/>
  <c r="L504" i="52"/>
  <c r="H504" i="52" s="1"/>
  <c r="H496" i="52"/>
  <c r="H488" i="52"/>
  <c r="I477" i="52"/>
  <c r="H477" i="52" s="1"/>
  <c r="L456" i="52"/>
  <c r="H456" i="52" s="1"/>
  <c r="H448" i="52"/>
  <c r="H440" i="52"/>
  <c r="I429" i="52"/>
  <c r="H429" i="52" s="1"/>
  <c r="L411" i="52"/>
  <c r="H411" i="52" s="1"/>
  <c r="H408" i="52"/>
  <c r="L395" i="52"/>
  <c r="H395" i="52" s="1"/>
  <c r="L392" i="52"/>
  <c r="H392" i="52" s="1"/>
  <c r="H374" i="52"/>
  <c r="H364" i="52"/>
  <c r="H314" i="52"/>
  <c r="H307" i="52"/>
  <c r="H299" i="52"/>
  <c r="I280" i="52"/>
  <c r="H280" i="52" s="1"/>
  <c r="K282" i="52"/>
  <c r="I282" i="52" s="1"/>
  <c r="K279" i="52"/>
  <c r="I279" i="52" s="1"/>
  <c r="H279" i="52" s="1"/>
  <c r="H271" i="52"/>
  <c r="K210" i="52"/>
  <c r="K206" i="52" s="1"/>
  <c r="H262" i="52"/>
  <c r="H254" i="52"/>
  <c r="L240" i="52"/>
  <c r="H240" i="52" s="1"/>
  <c r="L219" i="52"/>
  <c r="H219" i="52" s="1"/>
  <c r="H215" i="52"/>
  <c r="M212" i="52"/>
  <c r="I192" i="52"/>
  <c r="L183" i="52"/>
  <c r="H183" i="52" s="1"/>
  <c r="I177" i="52"/>
  <c r="J174" i="52"/>
  <c r="I174" i="52" s="1"/>
  <c r="M161" i="52"/>
  <c r="L161" i="52" s="1"/>
  <c r="L164" i="52"/>
  <c r="M150" i="52"/>
  <c r="L150" i="52" s="1"/>
  <c r="L153" i="52"/>
  <c r="L152" i="52"/>
  <c r="L138" i="52"/>
  <c r="I126" i="52"/>
  <c r="I108" i="52"/>
  <c r="J105" i="52"/>
  <c r="I105" i="52" s="1"/>
  <c r="N61" i="52"/>
  <c r="N57" i="52" s="1"/>
  <c r="L65" i="52"/>
  <c r="I64" i="52"/>
  <c r="J60" i="52"/>
  <c r="D131" i="50"/>
  <c r="D95" i="50"/>
  <c r="D79" i="50"/>
  <c r="N158" i="50"/>
  <c r="N159" i="50" s="1"/>
  <c r="J158" i="50"/>
  <c r="J159" i="50" s="1"/>
  <c r="F158" i="50"/>
  <c r="F159" i="50" s="1"/>
  <c r="F65" i="51"/>
  <c r="F9" i="51" s="1"/>
  <c r="H692" i="52"/>
  <c r="I681" i="52"/>
  <c r="H681" i="52" s="1"/>
  <c r="L660" i="52"/>
  <c r="H660" i="52" s="1"/>
  <c r="H652" i="52"/>
  <c r="H644" i="52"/>
  <c r="I633" i="52"/>
  <c r="H633" i="52" s="1"/>
  <c r="L612" i="52"/>
  <c r="H604" i="52"/>
  <c r="H596" i="52"/>
  <c r="I585" i="52"/>
  <c r="H585" i="52" s="1"/>
  <c r="L564" i="52"/>
  <c r="H556" i="52"/>
  <c r="H548" i="52"/>
  <c r="I537" i="52"/>
  <c r="H537" i="52" s="1"/>
  <c r="L516" i="52"/>
  <c r="H508" i="52"/>
  <c r="H500" i="52"/>
  <c r="I489" i="52"/>
  <c r="H489" i="52" s="1"/>
  <c r="L468" i="52"/>
  <c r="H468" i="52" s="1"/>
  <c r="H460" i="52"/>
  <c r="H452" i="52"/>
  <c r="I441" i="52"/>
  <c r="H441" i="52" s="1"/>
  <c r="L420" i="52"/>
  <c r="H412" i="52"/>
  <c r="L403" i="52"/>
  <c r="I400" i="52"/>
  <c r="H400" i="52" s="1"/>
  <c r="I394" i="52"/>
  <c r="H394" i="52" s="1"/>
  <c r="H388" i="52"/>
  <c r="M385" i="52"/>
  <c r="L383" i="52"/>
  <c r="I375" i="52"/>
  <c r="H375" i="52" s="1"/>
  <c r="I345" i="52"/>
  <c r="H345" i="52" s="1"/>
  <c r="H319" i="52"/>
  <c r="L297" i="52"/>
  <c r="H297" i="52" s="1"/>
  <c r="I291" i="52"/>
  <c r="H291" i="52" s="1"/>
  <c r="L282" i="52"/>
  <c r="H218" i="52"/>
  <c r="H196" i="52"/>
  <c r="L189" i="52"/>
  <c r="H188" i="52"/>
  <c r="I185" i="52"/>
  <c r="H185" i="52" s="1"/>
  <c r="N174" i="52"/>
  <c r="L174" i="52" s="1"/>
  <c r="L177" i="52"/>
  <c r="H175" i="52"/>
  <c r="M162" i="52"/>
  <c r="H157" i="52"/>
  <c r="M126" i="52"/>
  <c r="L126" i="52" s="1"/>
  <c r="L129" i="52"/>
  <c r="H129" i="52" s="1"/>
  <c r="I87" i="52"/>
  <c r="H87" i="52" s="1"/>
  <c r="J84" i="52"/>
  <c r="I84" i="52" s="1"/>
  <c r="H75" i="52"/>
  <c r="N66" i="52"/>
  <c r="L69" i="52"/>
  <c r="H100" i="52"/>
  <c r="K61" i="52"/>
  <c r="K57" i="52" s="1"/>
  <c r="K12" i="52" s="1"/>
  <c r="K702" i="52" s="1"/>
  <c r="H51" i="52"/>
  <c r="I30" i="52"/>
  <c r="H30" i="52" s="1"/>
  <c r="H27" i="52"/>
  <c r="L24" i="52"/>
  <c r="H24" i="52" s="1"/>
  <c r="K17" i="52"/>
  <c r="I21" i="52"/>
  <c r="J17" i="52"/>
  <c r="I357" i="52"/>
  <c r="H357" i="52" s="1"/>
  <c r="L336" i="52"/>
  <c r="H323" i="52"/>
  <c r="I312" i="52"/>
  <c r="H312" i="52" s="1"/>
  <c r="L294" i="52"/>
  <c r="H294" i="52" s="1"/>
  <c r="H286" i="52"/>
  <c r="L276" i="52"/>
  <c r="H276" i="52" s="1"/>
  <c r="I267" i="52"/>
  <c r="H267" i="52" s="1"/>
  <c r="L246" i="52"/>
  <c r="H246" i="52" s="1"/>
  <c r="H236" i="52"/>
  <c r="H227" i="52"/>
  <c r="N212" i="52"/>
  <c r="N208" i="52" s="1"/>
  <c r="I216" i="52"/>
  <c r="H216" i="52" s="1"/>
  <c r="N207" i="52"/>
  <c r="L207" i="52" s="1"/>
  <c r="M201" i="52"/>
  <c r="L201" i="52" s="1"/>
  <c r="H201" i="52" s="1"/>
  <c r="L204" i="52"/>
  <c r="H204" i="52" s="1"/>
  <c r="L200" i="52"/>
  <c r="L180" i="52"/>
  <c r="H180" i="52" s="1"/>
  <c r="N165" i="52"/>
  <c r="N162" i="52" s="1"/>
  <c r="H146" i="52"/>
  <c r="H142" i="52"/>
  <c r="J138" i="52"/>
  <c r="I138" i="52" s="1"/>
  <c r="K84" i="52"/>
  <c r="H77" i="52"/>
  <c r="L171" i="52"/>
  <c r="H171" i="52" s="1"/>
  <c r="H134" i="52"/>
  <c r="I131" i="52"/>
  <c r="H131" i="52" s="1"/>
  <c r="L120" i="52"/>
  <c r="H120" i="52" s="1"/>
  <c r="M114" i="52"/>
  <c r="N114" i="52"/>
  <c r="N111" i="52" s="1"/>
  <c r="L117" i="52"/>
  <c r="H115" i="52"/>
  <c r="I96" i="52"/>
  <c r="J93" i="52"/>
  <c r="I93" i="52" s="1"/>
  <c r="J78" i="52"/>
  <c r="I78" i="52" s="1"/>
  <c r="H78" i="52" s="1"/>
  <c r="I81" i="52"/>
  <c r="H81" i="52" s="1"/>
  <c r="H76" i="52"/>
  <c r="N60" i="52"/>
  <c r="N56" i="52" s="1"/>
  <c r="N11" i="52" s="1"/>
  <c r="N701" i="52" s="1"/>
  <c r="H45" i="52"/>
  <c r="H39" i="52"/>
  <c r="I33" i="52"/>
  <c r="H33" i="52" s="1"/>
  <c r="N17" i="52"/>
  <c r="I16" i="52"/>
  <c r="J144" i="52"/>
  <c r="I144" i="52" s="1"/>
  <c r="H144" i="52" s="1"/>
  <c r="I147" i="52"/>
  <c r="H147" i="52" s="1"/>
  <c r="I143" i="52"/>
  <c r="H143" i="52" s="1"/>
  <c r="J110" i="52"/>
  <c r="I110" i="52" s="1"/>
  <c r="H110" i="52" s="1"/>
  <c r="I113" i="52"/>
  <c r="H113" i="52" s="1"/>
  <c r="M105" i="52"/>
  <c r="L105" i="52" s="1"/>
  <c r="L108" i="52"/>
  <c r="I104" i="52"/>
  <c r="H104" i="52" s="1"/>
  <c r="H88" i="52"/>
  <c r="L84" i="52"/>
  <c r="J66" i="52"/>
  <c r="I69" i="52"/>
  <c r="M60" i="52"/>
  <c r="L64" i="52"/>
  <c r="H44" i="52"/>
  <c r="H37" i="52"/>
  <c r="H29" i="52"/>
  <c r="N12" i="52"/>
  <c r="N702" i="52" s="1"/>
  <c r="H116" i="52"/>
  <c r="M109" i="52"/>
  <c r="L109" i="52" s="1"/>
  <c r="L112" i="52"/>
  <c r="H112" i="52" s="1"/>
  <c r="M93" i="52"/>
  <c r="L93" i="52" s="1"/>
  <c r="L96" i="52"/>
  <c r="L92" i="52"/>
  <c r="H92" i="52" s="1"/>
  <c r="H53" i="52"/>
  <c r="I42" i="52"/>
  <c r="H42" i="52" s="1"/>
  <c r="M17" i="52"/>
  <c r="L21" i="52"/>
  <c r="L16" i="52"/>
  <c r="J61" i="52" l="1"/>
  <c r="H109" i="52"/>
  <c r="H383" i="52"/>
  <c r="H200" i="52"/>
  <c r="H693" i="52"/>
  <c r="H21" i="52"/>
  <c r="H567" i="52"/>
  <c r="H672" i="52"/>
  <c r="H108" i="52"/>
  <c r="H97" i="52"/>
  <c r="H300" i="52"/>
  <c r="I404" i="52"/>
  <c r="H404" i="52" s="1"/>
  <c r="H132" i="52"/>
  <c r="H161" i="52"/>
  <c r="H336" i="52"/>
  <c r="D14" i="50"/>
  <c r="D158" i="50" s="1"/>
  <c r="H72" i="52"/>
  <c r="I17" i="52"/>
  <c r="J56" i="52"/>
  <c r="I60" i="52"/>
  <c r="H105" i="52"/>
  <c r="J57" i="52"/>
  <c r="I61" i="52"/>
  <c r="I153" i="52"/>
  <c r="H153" i="52" s="1"/>
  <c r="J150" i="52"/>
  <c r="I150" i="52" s="1"/>
  <c r="H150" i="52" s="1"/>
  <c r="E9" i="51"/>
  <c r="G9" i="51" s="1"/>
  <c r="G10" i="51"/>
  <c r="M56" i="52"/>
  <c r="L60" i="52"/>
  <c r="K62" i="52"/>
  <c r="K58" i="52" s="1"/>
  <c r="H138" i="52"/>
  <c r="H84" i="52"/>
  <c r="H64" i="52"/>
  <c r="H192" i="52"/>
  <c r="I210" i="52"/>
  <c r="H210" i="52" s="1"/>
  <c r="J206" i="52"/>
  <c r="I206" i="52" s="1"/>
  <c r="H206" i="52" s="1"/>
  <c r="H612" i="52"/>
  <c r="D15" i="50"/>
  <c r="E159" i="50"/>
  <c r="H152" i="52"/>
  <c r="I165" i="52"/>
  <c r="J162" i="52"/>
  <c r="I162" i="52" s="1"/>
  <c r="H516" i="52"/>
  <c r="H282" i="52"/>
  <c r="H69" i="52"/>
  <c r="M61" i="52"/>
  <c r="H93" i="52"/>
  <c r="N62" i="52"/>
  <c r="N58" i="52" s="1"/>
  <c r="N13" i="52" s="1"/>
  <c r="N703" i="52" s="1"/>
  <c r="L66" i="52"/>
  <c r="L165" i="52"/>
  <c r="H126" i="52"/>
  <c r="H174" i="52"/>
  <c r="M208" i="52"/>
  <c r="L208" i="52" s="1"/>
  <c r="L212" i="52"/>
  <c r="K11" i="52"/>
  <c r="K701" i="52" s="1"/>
  <c r="H117" i="52"/>
  <c r="H189" i="52"/>
  <c r="K212" i="52"/>
  <c r="K208" i="52" s="1"/>
  <c r="J207" i="52"/>
  <c r="I207" i="52" s="1"/>
  <c r="H207" i="52" s="1"/>
  <c r="I211" i="52"/>
  <c r="H211" i="52" s="1"/>
  <c r="D159" i="50"/>
  <c r="D107" i="50"/>
  <c r="L17" i="52"/>
  <c r="J62" i="52"/>
  <c r="I66" i="52"/>
  <c r="H16" i="52"/>
  <c r="H96" i="52"/>
  <c r="M111" i="52"/>
  <c r="L111" i="52" s="1"/>
  <c r="L114" i="52"/>
  <c r="J212" i="52"/>
  <c r="L162" i="52"/>
  <c r="L385" i="52"/>
  <c r="H385" i="52" s="1"/>
  <c r="H177" i="52"/>
  <c r="H65" i="52"/>
  <c r="J111" i="52"/>
  <c r="I111" i="52" s="1"/>
  <c r="I114" i="52"/>
  <c r="H114" i="52" s="1"/>
  <c r="H403" i="52"/>
  <c r="H420" i="52"/>
  <c r="H135" i="52"/>
  <c r="H164" i="52"/>
  <c r="L186" i="52"/>
  <c r="H186" i="52" s="1"/>
  <c r="H564" i="52"/>
  <c r="G65" i="51"/>
  <c r="H162" i="52" l="1"/>
  <c r="K13" i="52"/>
  <c r="K703" i="52" s="1"/>
  <c r="H165" i="52"/>
  <c r="J58" i="52"/>
  <c r="I62" i="52"/>
  <c r="L61" i="52"/>
  <c r="H61" i="52" s="1"/>
  <c r="M57" i="52"/>
  <c r="I56" i="52"/>
  <c r="J11" i="52"/>
  <c r="H111" i="52"/>
  <c r="M62" i="52"/>
  <c r="I57" i="52"/>
  <c r="J12" i="52"/>
  <c r="H17" i="52"/>
  <c r="J208" i="52"/>
  <c r="I208" i="52" s="1"/>
  <c r="H208" i="52" s="1"/>
  <c r="I212" i="52"/>
  <c r="H212" i="52" s="1"/>
  <c r="H66" i="52"/>
  <c r="L56" i="52"/>
  <c r="M11" i="52"/>
  <c r="H60" i="52"/>
  <c r="L57" i="52" l="1"/>
  <c r="M12" i="52"/>
  <c r="I12" i="52"/>
  <c r="J702" i="52"/>
  <c r="I11" i="52"/>
  <c r="J701" i="52"/>
  <c r="H57" i="52"/>
  <c r="H56" i="52"/>
  <c r="L11" i="52"/>
  <c r="L701" i="52" s="1"/>
  <c r="M701" i="52"/>
  <c r="M58" i="52"/>
  <c r="L62" i="52"/>
  <c r="H62" i="52" s="1"/>
  <c r="I58" i="52"/>
  <c r="J13" i="52"/>
  <c r="L58" i="52" l="1"/>
  <c r="M13" i="52"/>
  <c r="J703" i="52"/>
  <c r="I13" i="52"/>
  <c r="I702" i="52"/>
  <c r="H58" i="52"/>
  <c r="L12" i="52"/>
  <c r="L702" i="52" s="1"/>
  <c r="M702" i="52"/>
  <c r="H11" i="52"/>
  <c r="H701" i="52" s="1"/>
  <c r="I701" i="52"/>
  <c r="I703" i="52" l="1"/>
  <c r="L13" i="52"/>
  <c r="L703" i="52" s="1"/>
  <c r="M703" i="52"/>
  <c r="H12" i="52"/>
  <c r="H702" i="52" s="1"/>
  <c r="H13" i="52" l="1"/>
  <c r="H703" i="52" s="1"/>
  <c r="F393" i="44" l="1"/>
  <c r="E393" i="44"/>
  <c r="E392" i="44"/>
  <c r="F377" i="44"/>
  <c r="E377" i="44"/>
  <c r="F364" i="44"/>
  <c r="E364" i="44"/>
  <c r="F360" i="44"/>
  <c r="E360" i="44"/>
  <c r="F357" i="44"/>
  <c r="E357" i="44"/>
  <c r="F354" i="44"/>
  <c r="E354" i="44"/>
  <c r="F351" i="44"/>
  <c r="E351" i="44"/>
  <c r="F347" i="44"/>
  <c r="E347" i="44"/>
  <c r="F344" i="44"/>
  <c r="E344" i="44"/>
  <c r="F342" i="44"/>
  <c r="E342" i="44"/>
  <c r="F336" i="44"/>
  <c r="E336" i="44"/>
  <c r="E335" i="44"/>
  <c r="F332" i="44"/>
  <c r="E332" i="44"/>
  <c r="G332" i="44" s="1"/>
  <c r="F314" i="44"/>
  <c r="F313" i="44" s="1"/>
  <c r="E314" i="44"/>
  <c r="G314" i="44" s="1"/>
  <c r="F298" i="44"/>
  <c r="E298" i="44"/>
  <c r="G298" i="44" s="1"/>
  <c r="F273" i="44"/>
  <c r="E273" i="44"/>
  <c r="F271" i="44"/>
  <c r="E271" i="44"/>
  <c r="F246" i="44"/>
  <c r="F245" i="44" s="1"/>
  <c r="E246" i="44"/>
  <c r="F208" i="44"/>
  <c r="E208" i="44"/>
  <c r="F206" i="44"/>
  <c r="E206" i="44"/>
  <c r="F202" i="44"/>
  <c r="E202" i="44"/>
  <c r="F192" i="44"/>
  <c r="G192" i="44" s="1"/>
  <c r="E192" i="44"/>
  <c r="F184" i="44"/>
  <c r="E184" i="44"/>
  <c r="G184" i="44" s="1"/>
  <c r="F173" i="44"/>
  <c r="F172" i="44" s="1"/>
  <c r="E173" i="44"/>
  <c r="F170" i="44"/>
  <c r="F169" i="44"/>
  <c r="E170" i="44"/>
  <c r="E169" i="44" s="1"/>
  <c r="F167" i="44"/>
  <c r="F166" i="44" s="1"/>
  <c r="E167" i="44"/>
  <c r="F155" i="44"/>
  <c r="E155" i="44"/>
  <c r="F150" i="44"/>
  <c r="E150" i="44"/>
  <c r="F131" i="44"/>
  <c r="F130" i="44" s="1"/>
  <c r="E131" i="44"/>
  <c r="E130" i="44" s="1"/>
  <c r="G130" i="44" s="1"/>
  <c r="F128" i="44"/>
  <c r="F127" i="44" s="1"/>
  <c r="E128" i="44"/>
  <c r="E127" i="44" s="1"/>
  <c r="F125" i="44"/>
  <c r="F124" i="44" s="1"/>
  <c r="E125" i="44"/>
  <c r="E124" i="44" s="1"/>
  <c r="G124" i="44" s="1"/>
  <c r="F101" i="44"/>
  <c r="F100" i="44" s="1"/>
  <c r="E101" i="44"/>
  <c r="E100" i="44" s="1"/>
  <c r="G100" i="44" s="1"/>
  <c r="F84" i="44"/>
  <c r="E84" i="44"/>
  <c r="G84" i="44" s="1"/>
  <c r="F82" i="44"/>
  <c r="E82" i="44"/>
  <c r="G82" i="44" s="1"/>
  <c r="F60" i="44"/>
  <c r="E60" i="44"/>
  <c r="G60" i="44" s="1"/>
  <c r="F58" i="44"/>
  <c r="E58" i="44"/>
  <c r="F55" i="44"/>
  <c r="E55" i="44"/>
  <c r="F38" i="44"/>
  <c r="F37" i="44" s="1"/>
  <c r="E38" i="44"/>
  <c r="E37" i="44"/>
  <c r="F22" i="44"/>
  <c r="G22" i="44" s="1"/>
  <c r="E22" i="44"/>
  <c r="F12" i="44"/>
  <c r="F11" i="44" s="1"/>
  <c r="E12" i="44"/>
  <c r="E11" i="44" s="1"/>
  <c r="G13" i="44"/>
  <c r="G14" i="44"/>
  <c r="G15" i="44"/>
  <c r="G16" i="44"/>
  <c r="G17" i="44"/>
  <c r="G18" i="44"/>
  <c r="G19" i="44"/>
  <c r="G20" i="44"/>
  <c r="G21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6" i="44"/>
  <c r="G57" i="44"/>
  <c r="G59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3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122" i="44"/>
  <c r="G123" i="44"/>
  <c r="G126" i="44"/>
  <c r="G128" i="44"/>
  <c r="G129" i="44"/>
  <c r="G132" i="44"/>
  <c r="G133" i="44"/>
  <c r="G134" i="44"/>
  <c r="G135" i="44"/>
  <c r="G136" i="44"/>
  <c r="G137" i="44"/>
  <c r="G138" i="44"/>
  <c r="G139" i="44"/>
  <c r="G140" i="44"/>
  <c r="G141" i="44"/>
  <c r="G142" i="44"/>
  <c r="G143" i="44"/>
  <c r="G144" i="44"/>
  <c r="G145" i="44"/>
  <c r="G146" i="44"/>
  <c r="G147" i="44"/>
  <c r="G148" i="44"/>
  <c r="G150" i="44"/>
  <c r="G151" i="44"/>
  <c r="G152" i="44"/>
  <c r="G153" i="44"/>
  <c r="G154" i="44"/>
  <c r="G156" i="44"/>
  <c r="G157" i="44"/>
  <c r="G158" i="44"/>
  <c r="G159" i="44"/>
  <c r="G160" i="44"/>
  <c r="G161" i="44"/>
  <c r="G162" i="44"/>
  <c r="G163" i="44"/>
  <c r="G164" i="44"/>
  <c r="G165" i="44"/>
  <c r="G168" i="44"/>
  <c r="G169" i="44"/>
  <c r="G171" i="44"/>
  <c r="G174" i="44"/>
  <c r="G175" i="44"/>
  <c r="G176" i="44"/>
  <c r="G177" i="44"/>
  <c r="G178" i="44"/>
  <c r="G179" i="44"/>
  <c r="G180" i="44"/>
  <c r="G181" i="44"/>
  <c r="G182" i="44"/>
  <c r="G183" i="44"/>
  <c r="G185" i="44"/>
  <c r="G186" i="44"/>
  <c r="G187" i="44"/>
  <c r="G188" i="44"/>
  <c r="G189" i="44"/>
  <c r="G190" i="44"/>
  <c r="G191" i="44"/>
  <c r="G193" i="44"/>
  <c r="G194" i="44"/>
  <c r="G195" i="44"/>
  <c r="G196" i="44"/>
  <c r="G197" i="44"/>
  <c r="G198" i="44"/>
  <c r="G199" i="44"/>
  <c r="G200" i="44"/>
  <c r="G203" i="44"/>
  <c r="G204" i="44"/>
  <c r="G205" i="44"/>
  <c r="G206" i="44"/>
  <c r="G207" i="44"/>
  <c r="G209" i="44"/>
  <c r="G210" i="44"/>
  <c r="G211" i="44"/>
  <c r="G212" i="44"/>
  <c r="G213" i="44"/>
  <c r="G214" i="44"/>
  <c r="G215" i="44"/>
  <c r="G216" i="44"/>
  <c r="G217" i="44"/>
  <c r="G218" i="44"/>
  <c r="G219" i="44"/>
  <c r="G220" i="44"/>
  <c r="G221" i="44"/>
  <c r="G222" i="44"/>
  <c r="G223" i="44"/>
  <c r="G224" i="44"/>
  <c r="G225" i="44"/>
  <c r="G226" i="44"/>
  <c r="G227" i="44"/>
  <c r="G228" i="44"/>
  <c r="G229" i="44"/>
  <c r="G230" i="44"/>
  <c r="G231" i="44"/>
  <c r="G232" i="44"/>
  <c r="G233" i="44"/>
  <c r="G234" i="44"/>
  <c r="G235" i="44"/>
  <c r="G236" i="44"/>
  <c r="G237" i="44"/>
  <c r="G238" i="44"/>
  <c r="G239" i="44"/>
  <c r="G240" i="44"/>
  <c r="G241" i="44"/>
  <c r="G242" i="44"/>
  <c r="G243" i="44"/>
  <c r="G244" i="44"/>
  <c r="G247" i="44"/>
  <c r="G248" i="44"/>
  <c r="G249" i="44"/>
  <c r="G250" i="44"/>
  <c r="G251" i="44"/>
  <c r="G252" i="44"/>
  <c r="G253" i="44"/>
  <c r="G254" i="44"/>
  <c r="G255" i="44"/>
  <c r="G256" i="44"/>
  <c r="G257" i="44"/>
  <c r="G258" i="44"/>
  <c r="G259" i="44"/>
  <c r="G260" i="44"/>
  <c r="G261" i="44"/>
  <c r="G262" i="44"/>
  <c r="G263" i="44"/>
  <c r="G264" i="44"/>
  <c r="G265" i="44"/>
  <c r="G266" i="44"/>
  <c r="G267" i="44"/>
  <c r="G268" i="44"/>
  <c r="G269" i="44"/>
  <c r="G272" i="44"/>
  <c r="G274" i="44"/>
  <c r="G275" i="44"/>
  <c r="G276" i="44"/>
  <c r="G277" i="44"/>
  <c r="G278" i="44"/>
  <c r="G279" i="44"/>
  <c r="G280" i="44"/>
  <c r="G281" i="44"/>
  <c r="G282" i="44"/>
  <c r="G283" i="44"/>
  <c r="G284" i="44"/>
  <c r="G285" i="44"/>
  <c r="G286" i="44"/>
  <c r="G287" i="44"/>
  <c r="G288" i="44"/>
  <c r="G289" i="44"/>
  <c r="G290" i="44"/>
  <c r="G291" i="44"/>
  <c r="G292" i="44"/>
  <c r="G293" i="44"/>
  <c r="G294" i="44"/>
  <c r="G295" i="44"/>
  <c r="G296" i="44"/>
  <c r="G297" i="44"/>
  <c r="G299" i="44"/>
  <c r="G300" i="44"/>
  <c r="G301" i="44"/>
  <c r="G302" i="44"/>
  <c r="G303" i="44"/>
  <c r="G304" i="44"/>
  <c r="G305" i="44"/>
  <c r="G306" i="44"/>
  <c r="G307" i="44"/>
  <c r="G308" i="44"/>
  <c r="G309" i="44"/>
  <c r="G310" i="44"/>
  <c r="G311" i="44"/>
  <c r="G312" i="44"/>
  <c r="G315" i="44"/>
  <c r="G316" i="44"/>
  <c r="G317" i="44"/>
  <c r="G318" i="44"/>
  <c r="G319" i="44"/>
  <c r="G320" i="44"/>
  <c r="G321" i="44"/>
  <c r="G322" i="44"/>
  <c r="G323" i="44"/>
  <c r="G324" i="44"/>
  <c r="G325" i="44"/>
  <c r="G326" i="44"/>
  <c r="G327" i="44"/>
  <c r="G328" i="44"/>
  <c r="G329" i="44"/>
  <c r="G330" i="44"/>
  <c r="G331" i="44"/>
  <c r="G333" i="44"/>
  <c r="G334" i="44"/>
  <c r="G337" i="44"/>
  <c r="G338" i="44"/>
  <c r="G339" i="44"/>
  <c r="G340" i="44"/>
  <c r="G343" i="44"/>
  <c r="G345" i="44"/>
  <c r="G346" i="44"/>
  <c r="G348" i="44"/>
  <c r="G349" i="44"/>
  <c r="G350" i="44"/>
  <c r="G352" i="44"/>
  <c r="G353" i="44"/>
  <c r="G355" i="44"/>
  <c r="G356" i="44"/>
  <c r="G358" i="44"/>
  <c r="G359" i="44"/>
  <c r="G361" i="44"/>
  <c r="G362" i="44"/>
  <c r="G363" i="44"/>
  <c r="G365" i="44"/>
  <c r="G366" i="44"/>
  <c r="G367" i="44"/>
  <c r="G368" i="44"/>
  <c r="G369" i="44"/>
  <c r="G370" i="44"/>
  <c r="G371" i="44"/>
  <c r="G372" i="44"/>
  <c r="G373" i="44"/>
  <c r="G374" i="44"/>
  <c r="G375" i="44"/>
  <c r="G376" i="44"/>
  <c r="G378" i="44"/>
  <c r="G379" i="44"/>
  <c r="G380" i="44"/>
  <c r="G381" i="44"/>
  <c r="G382" i="44"/>
  <c r="G383" i="44"/>
  <c r="G384" i="44"/>
  <c r="G385" i="44"/>
  <c r="G386" i="44"/>
  <c r="G387" i="44"/>
  <c r="G388" i="44"/>
  <c r="G389" i="44"/>
  <c r="G390" i="44"/>
  <c r="G391" i="44"/>
  <c r="G394" i="44"/>
  <c r="G395" i="44"/>
  <c r="G396" i="44"/>
  <c r="G397" i="44"/>
  <c r="G398" i="44"/>
  <c r="G399" i="44"/>
  <c r="G400" i="44"/>
  <c r="G401" i="44"/>
  <c r="G402" i="44"/>
  <c r="G403" i="44"/>
  <c r="G404" i="44"/>
  <c r="G405" i="44"/>
  <c r="G406" i="44"/>
  <c r="G407" i="44"/>
  <c r="G408" i="44"/>
  <c r="G409" i="44"/>
  <c r="G410" i="44"/>
  <c r="G411" i="44"/>
  <c r="G412" i="44"/>
  <c r="G413" i="44"/>
  <c r="G414" i="44"/>
  <c r="G415" i="44"/>
  <c r="K127" i="45"/>
  <c r="O412" i="45"/>
  <c r="N412" i="45"/>
  <c r="K412" i="45"/>
  <c r="H412" i="45"/>
  <c r="G412" i="45"/>
  <c r="K406" i="45"/>
  <c r="I400" i="45"/>
  <c r="O385" i="45"/>
  <c r="N385" i="45"/>
  <c r="N380" i="45"/>
  <c r="N373" i="45"/>
  <c r="K373" i="45"/>
  <c r="O310" i="45"/>
  <c r="N310" i="45"/>
  <c r="K310" i="45"/>
  <c r="K305" i="45"/>
  <c r="K301" i="45"/>
  <c r="K286" i="45"/>
  <c r="O268" i="45"/>
  <c r="N268" i="45"/>
  <c r="K268" i="45"/>
  <c r="K235" i="45"/>
  <c r="K217" i="45"/>
  <c r="K151" i="45"/>
  <c r="K139" i="45" s="1"/>
  <c r="H151" i="45"/>
  <c r="O127" i="45"/>
  <c r="N127" i="45"/>
  <c r="G105" i="45"/>
  <c r="I105" i="45"/>
  <c r="J105" i="45"/>
  <c r="K105" i="45"/>
  <c r="L105" i="45"/>
  <c r="N105" i="45"/>
  <c r="O105" i="45"/>
  <c r="P105" i="45"/>
  <c r="G106" i="45"/>
  <c r="H106" i="45"/>
  <c r="I106" i="45"/>
  <c r="J106" i="45"/>
  <c r="K106" i="45"/>
  <c r="L106" i="45"/>
  <c r="N106" i="45"/>
  <c r="O106" i="45"/>
  <c r="P106" i="45"/>
  <c r="P107" i="45" s="1"/>
  <c r="P122" i="45"/>
  <c r="O122" i="45"/>
  <c r="N122" i="45"/>
  <c r="L122" i="45"/>
  <c r="K122" i="45"/>
  <c r="J122" i="45"/>
  <c r="I122" i="45"/>
  <c r="G122" i="45"/>
  <c r="M121" i="45"/>
  <c r="F121" i="45"/>
  <c r="E121" i="45"/>
  <c r="M120" i="45"/>
  <c r="H122" i="45"/>
  <c r="F120" i="45"/>
  <c r="E120" i="45"/>
  <c r="E122" i="45" s="1"/>
  <c r="K97" i="45"/>
  <c r="K88" i="45"/>
  <c r="O79" i="45"/>
  <c r="N79" i="45"/>
  <c r="K79" i="45"/>
  <c r="K64" i="45" s="1"/>
  <c r="H79" i="45"/>
  <c r="O61" i="45"/>
  <c r="N61" i="45"/>
  <c r="K61" i="45"/>
  <c r="K49" i="45"/>
  <c r="H49" i="45"/>
  <c r="G49" i="45"/>
  <c r="M122" i="45"/>
  <c r="D121" i="45"/>
  <c r="F122" i="45"/>
  <c r="J192" i="49"/>
  <c r="K192" i="49"/>
  <c r="H193" i="49"/>
  <c r="J193" i="49"/>
  <c r="K193" i="49"/>
  <c r="G193" i="49"/>
  <c r="G192" i="49"/>
  <c r="K197" i="49"/>
  <c r="J197" i="49"/>
  <c r="G197" i="49"/>
  <c r="I196" i="49"/>
  <c r="I195" i="49"/>
  <c r="H197" i="49"/>
  <c r="J294" i="49"/>
  <c r="K294" i="49"/>
  <c r="J295" i="49"/>
  <c r="K295" i="49"/>
  <c r="G295" i="49"/>
  <c r="G294" i="49"/>
  <c r="K314" i="49"/>
  <c r="J314" i="49"/>
  <c r="H314" i="49"/>
  <c r="G314" i="49"/>
  <c r="I313" i="49"/>
  <c r="I312" i="49"/>
  <c r="K311" i="49"/>
  <c r="J311" i="49"/>
  <c r="H311" i="49"/>
  <c r="G311" i="49"/>
  <c r="I310" i="49"/>
  <c r="I309" i="49"/>
  <c r="I311" i="49" s="1"/>
  <c r="H325" i="49"/>
  <c r="H295" i="49" s="1"/>
  <c r="K326" i="49"/>
  <c r="J326" i="49"/>
  <c r="H326" i="49"/>
  <c r="G326" i="49"/>
  <c r="I325" i="49"/>
  <c r="I324" i="49"/>
  <c r="I326" i="49" s="1"/>
  <c r="K308" i="49"/>
  <c r="J308" i="49"/>
  <c r="H308" i="49"/>
  <c r="G308" i="49"/>
  <c r="I307" i="49"/>
  <c r="I306" i="49"/>
  <c r="K260" i="49"/>
  <c r="J260" i="49"/>
  <c r="H260" i="49"/>
  <c r="G260" i="49"/>
  <c r="I259" i="49"/>
  <c r="I258" i="49"/>
  <c r="I260" i="49" s="1"/>
  <c r="K317" i="49"/>
  <c r="J317" i="49"/>
  <c r="H317" i="49"/>
  <c r="G317" i="49"/>
  <c r="I316" i="49"/>
  <c r="I315" i="49"/>
  <c r="J26" i="49"/>
  <c r="K26" i="49"/>
  <c r="J27" i="49"/>
  <c r="K27" i="49"/>
  <c r="G27" i="49"/>
  <c r="G26" i="49"/>
  <c r="K31" i="49"/>
  <c r="J31" i="49"/>
  <c r="G31" i="49"/>
  <c r="I30" i="49"/>
  <c r="I29" i="49"/>
  <c r="J131" i="49"/>
  <c r="K131" i="49"/>
  <c r="J132" i="49"/>
  <c r="K132" i="49"/>
  <c r="G132" i="49"/>
  <c r="G131" i="49"/>
  <c r="K136" i="49"/>
  <c r="J136" i="49"/>
  <c r="G136" i="49"/>
  <c r="I135" i="49"/>
  <c r="I136" i="49" s="1"/>
  <c r="I134" i="49"/>
  <c r="K166" i="49"/>
  <c r="J166" i="49"/>
  <c r="G166" i="49"/>
  <c r="I165" i="49"/>
  <c r="I164" i="49"/>
  <c r="I166" i="49" s="1"/>
  <c r="J113" i="49"/>
  <c r="K113" i="49"/>
  <c r="J114" i="49"/>
  <c r="K114" i="49"/>
  <c r="G114" i="49"/>
  <c r="G113" i="49"/>
  <c r="G115" i="49" s="1"/>
  <c r="K127" i="49"/>
  <c r="J127" i="49"/>
  <c r="G127" i="49"/>
  <c r="I126" i="49"/>
  <c r="I127" i="49" s="1"/>
  <c r="I125" i="49"/>
  <c r="J261" i="49"/>
  <c r="K261" i="49"/>
  <c r="H262" i="49"/>
  <c r="J262" i="49"/>
  <c r="K262" i="49"/>
  <c r="G262" i="49"/>
  <c r="G261" i="49"/>
  <c r="K269" i="49"/>
  <c r="J269" i="49"/>
  <c r="G269" i="49"/>
  <c r="I268" i="49"/>
  <c r="I267" i="49"/>
  <c r="H269" i="49"/>
  <c r="K251" i="49"/>
  <c r="J251" i="49"/>
  <c r="H251" i="49"/>
  <c r="G251" i="49"/>
  <c r="I250" i="49"/>
  <c r="I251" i="49" s="1"/>
  <c r="I249" i="49"/>
  <c r="K248" i="49"/>
  <c r="J248" i="49"/>
  <c r="H248" i="49"/>
  <c r="G248" i="49"/>
  <c r="I247" i="49"/>
  <c r="I246" i="49"/>
  <c r="I248" i="49" s="1"/>
  <c r="K245" i="49"/>
  <c r="J245" i="49"/>
  <c r="H245" i="49"/>
  <c r="G245" i="49"/>
  <c r="I244" i="49"/>
  <c r="I243" i="49"/>
  <c r="I245" i="49" s="1"/>
  <c r="K242" i="49"/>
  <c r="J242" i="49"/>
  <c r="H242" i="49"/>
  <c r="G242" i="49"/>
  <c r="I241" i="49"/>
  <c r="I240" i="49"/>
  <c r="K239" i="49"/>
  <c r="J239" i="49"/>
  <c r="H239" i="49"/>
  <c r="G239" i="49"/>
  <c r="I238" i="49"/>
  <c r="I237" i="49"/>
  <c r="I239" i="49" s="1"/>
  <c r="K236" i="49"/>
  <c r="J236" i="49"/>
  <c r="H236" i="49"/>
  <c r="G236" i="49"/>
  <c r="I235" i="49"/>
  <c r="I234" i="49"/>
  <c r="I236" i="49" s="1"/>
  <c r="K163" i="49"/>
  <c r="J163" i="49"/>
  <c r="G163" i="49"/>
  <c r="I162" i="49"/>
  <c r="I161" i="49"/>
  <c r="I163" i="49" s="1"/>
  <c r="K124" i="49"/>
  <c r="J124" i="49"/>
  <c r="G124" i="49"/>
  <c r="I123" i="49"/>
  <c r="I122" i="49"/>
  <c r="I57" i="49"/>
  <c r="I54" i="49"/>
  <c r="K58" i="49"/>
  <c r="J58" i="49"/>
  <c r="G58" i="49"/>
  <c r="I56" i="49"/>
  <c r="K54" i="49"/>
  <c r="J54" i="49"/>
  <c r="G54" i="49"/>
  <c r="K53" i="49"/>
  <c r="J53" i="49"/>
  <c r="J55" i="49" s="1"/>
  <c r="G53" i="49"/>
  <c r="G55" i="49" s="1"/>
  <c r="K342" i="49"/>
  <c r="J342" i="49"/>
  <c r="I341" i="49"/>
  <c r="I340" i="49"/>
  <c r="I342" i="49"/>
  <c r="K336" i="49"/>
  <c r="J336" i="49"/>
  <c r="I335" i="49"/>
  <c r="I334" i="49"/>
  <c r="I336" i="49" s="1"/>
  <c r="K323" i="49"/>
  <c r="J323" i="49"/>
  <c r="H323" i="49"/>
  <c r="G323" i="49"/>
  <c r="I322" i="49"/>
  <c r="I321" i="49"/>
  <c r="K320" i="49"/>
  <c r="J320" i="49"/>
  <c r="H320" i="49"/>
  <c r="G320" i="49"/>
  <c r="I319" i="49"/>
  <c r="I318" i="49"/>
  <c r="K305" i="49"/>
  <c r="J305" i="49"/>
  <c r="G305" i="49"/>
  <c r="I304" i="49"/>
  <c r="I303" i="49"/>
  <c r="I305" i="49" s="1"/>
  <c r="H303" i="49"/>
  <c r="H305" i="49" s="1"/>
  <c r="K302" i="49"/>
  <c r="J302" i="49"/>
  <c r="G302" i="49"/>
  <c r="I301" i="49"/>
  <c r="I300" i="49"/>
  <c r="I302" i="49"/>
  <c r="H300" i="49"/>
  <c r="H302" i="49" s="1"/>
  <c r="K299" i="49"/>
  <c r="J299" i="49"/>
  <c r="G299" i="49"/>
  <c r="I298" i="49"/>
  <c r="I299" i="49" s="1"/>
  <c r="I297" i="49"/>
  <c r="H297" i="49"/>
  <c r="H299" i="49" s="1"/>
  <c r="K293" i="49"/>
  <c r="J293" i="49"/>
  <c r="H293" i="49"/>
  <c r="G293" i="49"/>
  <c r="I292" i="49"/>
  <c r="I289" i="49" s="1"/>
  <c r="I291" i="49"/>
  <c r="I293" i="49" s="1"/>
  <c r="K289" i="49"/>
  <c r="J289" i="49"/>
  <c r="H289" i="49"/>
  <c r="G289" i="49"/>
  <c r="K288" i="49"/>
  <c r="K290" i="49" s="1"/>
  <c r="J288" i="49"/>
  <c r="I288" i="49"/>
  <c r="H288" i="49"/>
  <c r="G288" i="49"/>
  <c r="G290" i="49" s="1"/>
  <c r="K287" i="49"/>
  <c r="J287" i="49"/>
  <c r="G287" i="49"/>
  <c r="I286" i="49"/>
  <c r="I283" i="49" s="1"/>
  <c r="I285" i="49"/>
  <c r="H285" i="49"/>
  <c r="H287" i="49" s="1"/>
  <c r="K283" i="49"/>
  <c r="J283" i="49"/>
  <c r="H283" i="49"/>
  <c r="G283" i="49"/>
  <c r="K282" i="49"/>
  <c r="K284" i="49" s="1"/>
  <c r="J282" i="49"/>
  <c r="J284" i="49"/>
  <c r="G282" i="49"/>
  <c r="G284" i="49" s="1"/>
  <c r="K281" i="49"/>
  <c r="J281" i="49"/>
  <c r="G281" i="49"/>
  <c r="I280" i="49"/>
  <c r="I277" i="49" s="1"/>
  <c r="I279" i="49"/>
  <c r="H279" i="49"/>
  <c r="H276" i="49" s="1"/>
  <c r="H278" i="49" s="1"/>
  <c r="K277" i="49"/>
  <c r="J277" i="49"/>
  <c r="H277" i="49"/>
  <c r="G277" i="49"/>
  <c r="K276" i="49"/>
  <c r="K278" i="49" s="1"/>
  <c r="J276" i="49"/>
  <c r="J278" i="49" s="1"/>
  <c r="G276" i="49"/>
  <c r="K275" i="49"/>
  <c r="J275" i="49"/>
  <c r="G275" i="49"/>
  <c r="I274" i="49"/>
  <c r="I273" i="49"/>
  <c r="H273" i="49"/>
  <c r="K271" i="49"/>
  <c r="J271" i="49"/>
  <c r="I271" i="49"/>
  <c r="H271" i="49"/>
  <c r="G271" i="49"/>
  <c r="K270" i="49"/>
  <c r="J270" i="49"/>
  <c r="G270" i="49"/>
  <c r="G272" i="49" s="1"/>
  <c r="K266" i="49"/>
  <c r="J266" i="49"/>
  <c r="G266" i="49"/>
  <c r="I265" i="49"/>
  <c r="I264" i="49"/>
  <c r="H264" i="49"/>
  <c r="H261" i="49" s="1"/>
  <c r="K257" i="49"/>
  <c r="J257" i="49"/>
  <c r="H257" i="49"/>
  <c r="G257" i="49"/>
  <c r="I256" i="49"/>
  <c r="I257" i="49" s="1"/>
  <c r="I255" i="49"/>
  <c r="K254" i="49"/>
  <c r="J254" i="49"/>
  <c r="H254" i="49"/>
  <c r="G254" i="49"/>
  <c r="I253" i="49"/>
  <c r="I252" i="49"/>
  <c r="K233" i="49"/>
  <c r="J233" i="49"/>
  <c r="H233" i="49"/>
  <c r="G233" i="49"/>
  <c r="I232" i="49"/>
  <c r="I231" i="49"/>
  <c r="K230" i="49"/>
  <c r="J230" i="49"/>
  <c r="H230" i="49"/>
  <c r="G230" i="49"/>
  <c r="I229" i="49"/>
  <c r="I228" i="49"/>
  <c r="K227" i="49"/>
  <c r="J227" i="49"/>
  <c r="H227" i="49"/>
  <c r="G227" i="49"/>
  <c r="I226" i="49"/>
  <c r="I227" i="49" s="1"/>
  <c r="I225" i="49"/>
  <c r="K224" i="49"/>
  <c r="J224" i="49"/>
  <c r="H224" i="49"/>
  <c r="G224" i="49"/>
  <c r="I223" i="49"/>
  <c r="I222" i="49"/>
  <c r="K221" i="49"/>
  <c r="J221" i="49"/>
  <c r="H221" i="49"/>
  <c r="G221" i="49"/>
  <c r="I220" i="49"/>
  <c r="I219" i="49"/>
  <c r="I221" i="49" s="1"/>
  <c r="K218" i="49"/>
  <c r="J218" i="49"/>
  <c r="H218" i="49"/>
  <c r="G218" i="49"/>
  <c r="I217" i="49"/>
  <c r="I216" i="49"/>
  <c r="I218" i="49" s="1"/>
  <c r="K215" i="49"/>
  <c r="J215" i="49"/>
  <c r="G215" i="49"/>
  <c r="I214" i="49"/>
  <c r="I213" i="49"/>
  <c r="H213" i="49"/>
  <c r="H215" i="49"/>
  <c r="K212" i="49"/>
  <c r="J212" i="49"/>
  <c r="H212" i="49"/>
  <c r="G212" i="49"/>
  <c r="I211" i="49"/>
  <c r="I210" i="49"/>
  <c r="K209" i="49"/>
  <c r="J209" i="49"/>
  <c r="H209" i="49"/>
  <c r="G209" i="49"/>
  <c r="I208" i="49"/>
  <c r="I207" i="49"/>
  <c r="K206" i="49"/>
  <c r="J206" i="49"/>
  <c r="H206" i="49"/>
  <c r="G206" i="49"/>
  <c r="I205" i="49"/>
  <c r="I204" i="49"/>
  <c r="I206" i="49" s="1"/>
  <c r="K203" i="49"/>
  <c r="J203" i="49"/>
  <c r="H203" i="49"/>
  <c r="G203" i="49"/>
  <c r="I202" i="49"/>
  <c r="I201" i="49"/>
  <c r="K200" i="49"/>
  <c r="J200" i="49"/>
  <c r="G200" i="49"/>
  <c r="I199" i="49"/>
  <c r="I198" i="49"/>
  <c r="H198" i="49"/>
  <c r="H192" i="49" s="1"/>
  <c r="K184" i="49"/>
  <c r="J184" i="49"/>
  <c r="G184" i="49"/>
  <c r="I183" i="49"/>
  <c r="I180" i="49" s="1"/>
  <c r="I182" i="49"/>
  <c r="K180" i="49"/>
  <c r="J180" i="49"/>
  <c r="G180" i="49"/>
  <c r="G181" i="49" s="1"/>
  <c r="K179" i="49"/>
  <c r="K181" i="49" s="1"/>
  <c r="J179" i="49"/>
  <c r="J181" i="49" s="1"/>
  <c r="H179" i="49"/>
  <c r="G179" i="49"/>
  <c r="K178" i="49"/>
  <c r="J178" i="49"/>
  <c r="G178" i="49"/>
  <c r="I177" i="49"/>
  <c r="I176" i="49"/>
  <c r="K175" i="49"/>
  <c r="J175" i="49"/>
  <c r="G175" i="49"/>
  <c r="I174" i="49"/>
  <c r="I173" i="49"/>
  <c r="K172" i="49"/>
  <c r="J172" i="49"/>
  <c r="G172" i="49"/>
  <c r="I171" i="49"/>
  <c r="I170" i="49"/>
  <c r="K169" i="49"/>
  <c r="J169" i="49"/>
  <c r="G169" i="49"/>
  <c r="I168" i="49"/>
  <c r="I167" i="49"/>
  <c r="K160" i="49"/>
  <c r="J160" i="49"/>
  <c r="G160" i="49"/>
  <c r="I159" i="49"/>
  <c r="I158" i="49"/>
  <c r="K157" i="49"/>
  <c r="J157" i="49"/>
  <c r="G157" i="49"/>
  <c r="I156" i="49"/>
  <c r="I155" i="49"/>
  <c r="K154" i="49"/>
  <c r="J154" i="49"/>
  <c r="G154" i="49"/>
  <c r="I153" i="49"/>
  <c r="I152" i="49"/>
  <c r="K151" i="49"/>
  <c r="J151" i="49"/>
  <c r="G151" i="49"/>
  <c r="I150" i="49"/>
  <c r="I149" i="49"/>
  <c r="K148" i="49"/>
  <c r="J148" i="49"/>
  <c r="G148" i="49"/>
  <c r="I147" i="49"/>
  <c r="I146" i="49"/>
  <c r="K145" i="49"/>
  <c r="J145" i="49"/>
  <c r="G145" i="49"/>
  <c r="I144" i="49"/>
  <c r="I143" i="49"/>
  <c r="K142" i="49"/>
  <c r="J142" i="49"/>
  <c r="G142" i="49"/>
  <c r="I141" i="49"/>
  <c r="I140" i="49"/>
  <c r="K139" i="49"/>
  <c r="J139" i="49"/>
  <c r="G139" i="49"/>
  <c r="I138" i="49"/>
  <c r="I137" i="49"/>
  <c r="K130" i="49"/>
  <c r="J130" i="49"/>
  <c r="G130" i="49"/>
  <c r="I129" i="49"/>
  <c r="I128" i="49"/>
  <c r="K121" i="49"/>
  <c r="J121" i="49"/>
  <c r="G121" i="49"/>
  <c r="I120" i="49"/>
  <c r="I119" i="49"/>
  <c r="K118" i="49"/>
  <c r="J118" i="49"/>
  <c r="G118" i="49"/>
  <c r="I117" i="49"/>
  <c r="I116" i="49"/>
  <c r="K112" i="49"/>
  <c r="J112" i="49"/>
  <c r="G112" i="49"/>
  <c r="I111" i="49"/>
  <c r="I110" i="49"/>
  <c r="I112" i="49" s="1"/>
  <c r="K109" i="49"/>
  <c r="J109" i="49"/>
  <c r="G109" i="49"/>
  <c r="I108" i="49"/>
  <c r="I107" i="49"/>
  <c r="K105" i="49"/>
  <c r="J105" i="49"/>
  <c r="G105" i="49"/>
  <c r="K104" i="49"/>
  <c r="J104" i="49"/>
  <c r="H104" i="49"/>
  <c r="G104" i="49"/>
  <c r="G106" i="49"/>
  <c r="K103" i="49"/>
  <c r="J103" i="49"/>
  <c r="G103" i="49"/>
  <c r="I102" i="49"/>
  <c r="I101" i="49"/>
  <c r="K100" i="49"/>
  <c r="J100" i="49"/>
  <c r="G100" i="49"/>
  <c r="I99" i="49"/>
  <c r="I98" i="49"/>
  <c r="K97" i="49"/>
  <c r="J97" i="49"/>
  <c r="G97" i="49"/>
  <c r="I96" i="49"/>
  <c r="I93" i="49" s="1"/>
  <c r="I95" i="49"/>
  <c r="K93" i="49"/>
  <c r="J93" i="49"/>
  <c r="G93" i="49"/>
  <c r="K92" i="49"/>
  <c r="J92" i="49"/>
  <c r="H92" i="49"/>
  <c r="G92" i="49"/>
  <c r="G94" i="49" s="1"/>
  <c r="K91" i="49"/>
  <c r="J91" i="49"/>
  <c r="G91" i="49"/>
  <c r="I90" i="49"/>
  <c r="I89" i="49"/>
  <c r="K88" i="49"/>
  <c r="J88" i="49"/>
  <c r="G88" i="49"/>
  <c r="I87" i="49"/>
  <c r="I86" i="49"/>
  <c r="K85" i="49"/>
  <c r="J85" i="49"/>
  <c r="G85" i="49"/>
  <c r="I84" i="49"/>
  <c r="I83" i="49"/>
  <c r="K82" i="49"/>
  <c r="J82" i="49"/>
  <c r="G82" i="49"/>
  <c r="I81" i="49"/>
  <c r="I78" i="49" s="1"/>
  <c r="I80" i="49"/>
  <c r="I82" i="49" s="1"/>
  <c r="K78" i="49"/>
  <c r="J78" i="49"/>
  <c r="G78" i="49"/>
  <c r="K77" i="49"/>
  <c r="K79" i="49" s="1"/>
  <c r="J77" i="49"/>
  <c r="G77" i="49"/>
  <c r="G79" i="49" s="1"/>
  <c r="K76" i="49"/>
  <c r="J76" i="49"/>
  <c r="G76" i="49"/>
  <c r="I75" i="49"/>
  <c r="I74" i="49"/>
  <c r="I76" i="49" s="1"/>
  <c r="K73" i="49"/>
  <c r="J73" i="49"/>
  <c r="G73" i="49"/>
  <c r="I72" i="49"/>
  <c r="I71" i="49"/>
  <c r="K70" i="49"/>
  <c r="J70" i="49"/>
  <c r="G70" i="49"/>
  <c r="I69" i="49"/>
  <c r="I68" i="49"/>
  <c r="K66" i="49"/>
  <c r="J66" i="49"/>
  <c r="G66" i="49"/>
  <c r="K65" i="49"/>
  <c r="J65" i="49"/>
  <c r="J67" i="49" s="1"/>
  <c r="H65" i="49"/>
  <c r="G65" i="49"/>
  <c r="G67" i="49" s="1"/>
  <c r="K64" i="49"/>
  <c r="J64" i="49"/>
  <c r="G64" i="49"/>
  <c r="I63" i="49"/>
  <c r="I62" i="49"/>
  <c r="K60" i="49"/>
  <c r="J60" i="49"/>
  <c r="G60" i="49"/>
  <c r="K59" i="49"/>
  <c r="J59" i="49"/>
  <c r="G59" i="49"/>
  <c r="G61" i="49" s="1"/>
  <c r="K52" i="49"/>
  <c r="J52" i="49"/>
  <c r="G52" i="49"/>
  <c r="I51" i="49"/>
  <c r="I50" i="49"/>
  <c r="I52" i="49"/>
  <c r="K49" i="49"/>
  <c r="J49" i="49"/>
  <c r="G49" i="49"/>
  <c r="I48" i="49"/>
  <c r="I49" i="49" s="1"/>
  <c r="I47" i="49"/>
  <c r="K46" i="49"/>
  <c r="J46" i="49"/>
  <c r="G46" i="49"/>
  <c r="I45" i="49"/>
  <c r="I44" i="49"/>
  <c r="I46" i="49" s="1"/>
  <c r="K43" i="49"/>
  <c r="J43" i="49"/>
  <c r="G43" i="49"/>
  <c r="I42" i="49"/>
  <c r="I41" i="49"/>
  <c r="K40" i="49"/>
  <c r="J40" i="49"/>
  <c r="G40" i="49"/>
  <c r="I39" i="49"/>
  <c r="I38" i="49"/>
  <c r="K37" i="49"/>
  <c r="J37" i="49"/>
  <c r="G37" i="49"/>
  <c r="I36" i="49"/>
  <c r="I35" i="49"/>
  <c r="I37" i="49" s="1"/>
  <c r="K34" i="49"/>
  <c r="J34" i="49"/>
  <c r="G34" i="49"/>
  <c r="I33" i="49"/>
  <c r="I32" i="49"/>
  <c r="K25" i="49"/>
  <c r="J25" i="49"/>
  <c r="G25" i="49"/>
  <c r="I24" i="49"/>
  <c r="I21" i="49"/>
  <c r="I23" i="49"/>
  <c r="I20" i="49" s="1"/>
  <c r="K21" i="49"/>
  <c r="J21" i="49"/>
  <c r="G21" i="49"/>
  <c r="K20" i="49"/>
  <c r="J20" i="49"/>
  <c r="G20" i="49"/>
  <c r="G22" i="49"/>
  <c r="P419" i="45"/>
  <c r="O419" i="45"/>
  <c r="N419" i="45"/>
  <c r="L419" i="45"/>
  <c r="K419" i="45"/>
  <c r="J419" i="45"/>
  <c r="I419" i="45"/>
  <c r="H419" i="45"/>
  <c r="G419" i="45"/>
  <c r="M418" i="45"/>
  <c r="M415" i="45" s="1"/>
  <c r="F418" i="45"/>
  <c r="M417" i="45"/>
  <c r="M419" i="45" s="1"/>
  <c r="H417" i="45"/>
  <c r="F417" i="45"/>
  <c r="E417" i="45" s="1"/>
  <c r="E414" i="45" s="1"/>
  <c r="P415" i="45"/>
  <c r="O415" i="45"/>
  <c r="N415" i="45"/>
  <c r="L415" i="45"/>
  <c r="K415" i="45"/>
  <c r="J415" i="45"/>
  <c r="I415" i="45"/>
  <c r="H415" i="45"/>
  <c r="G415" i="45"/>
  <c r="P414" i="45"/>
  <c r="O414" i="45"/>
  <c r="O416" i="45" s="1"/>
  <c r="N414" i="45"/>
  <c r="M414" i="45"/>
  <c r="M416" i="45" s="1"/>
  <c r="L414" i="45"/>
  <c r="L416" i="45"/>
  <c r="K414" i="45"/>
  <c r="J414" i="45"/>
  <c r="J416" i="45" s="1"/>
  <c r="I414" i="45"/>
  <c r="H414" i="45"/>
  <c r="H416" i="45" s="1"/>
  <c r="G414" i="45"/>
  <c r="G416" i="45"/>
  <c r="P413" i="45"/>
  <c r="N413" i="45"/>
  <c r="L413" i="45"/>
  <c r="J413" i="45"/>
  <c r="I413" i="45"/>
  <c r="M412" i="45"/>
  <c r="M409" i="45" s="1"/>
  <c r="O411" i="45"/>
  <c r="O413" i="45" s="1"/>
  <c r="M411" i="45"/>
  <c r="K411" i="45"/>
  <c r="H411" i="45"/>
  <c r="F411" i="45" s="1"/>
  <c r="F408" i="45" s="1"/>
  <c r="P409" i="45"/>
  <c r="O409" i="45"/>
  <c r="N409" i="45"/>
  <c r="L409" i="45"/>
  <c r="K409" i="45"/>
  <c r="J409" i="45"/>
  <c r="I409" i="45"/>
  <c r="H409" i="45"/>
  <c r="P408" i="45"/>
  <c r="O408" i="45"/>
  <c r="O410" i="45" s="1"/>
  <c r="N408" i="45"/>
  <c r="L408" i="45"/>
  <c r="L410" i="45" s="1"/>
  <c r="J408" i="45"/>
  <c r="I408" i="45"/>
  <c r="I410" i="45" s="1"/>
  <c r="G408" i="45"/>
  <c r="P407" i="45"/>
  <c r="N407" i="45"/>
  <c r="L407" i="45"/>
  <c r="K407" i="45"/>
  <c r="J407" i="45"/>
  <c r="I407" i="45"/>
  <c r="H407" i="45"/>
  <c r="G407" i="45"/>
  <c r="M406" i="45"/>
  <c r="F406" i="45"/>
  <c r="O405" i="45"/>
  <c r="M405" i="45"/>
  <c r="M407" i="45"/>
  <c r="F405" i="45"/>
  <c r="E405" i="45" s="1"/>
  <c r="P404" i="45"/>
  <c r="O404" i="45"/>
  <c r="N404" i="45"/>
  <c r="L404" i="45"/>
  <c r="K404" i="45"/>
  <c r="J404" i="45"/>
  <c r="I404" i="45"/>
  <c r="G404" i="45"/>
  <c r="M403" i="45"/>
  <c r="F403" i="45"/>
  <c r="E403" i="45" s="1"/>
  <c r="D403" i="45" s="1"/>
  <c r="M402" i="45"/>
  <c r="M404" i="45" s="1"/>
  <c r="H402" i="45"/>
  <c r="H375" i="45" s="1"/>
  <c r="P401" i="45"/>
  <c r="O401" i="45"/>
  <c r="N401" i="45"/>
  <c r="L401" i="45"/>
  <c r="K401" i="45"/>
  <c r="J401" i="45"/>
  <c r="I401" i="45"/>
  <c r="H401" i="45"/>
  <c r="G401" i="45"/>
  <c r="M400" i="45"/>
  <c r="F400" i="45"/>
  <c r="E400" i="45" s="1"/>
  <c r="M399" i="45"/>
  <c r="F399" i="45"/>
  <c r="F401" i="45"/>
  <c r="E399" i="45"/>
  <c r="P398" i="45"/>
  <c r="O398" i="45"/>
  <c r="N398" i="45"/>
  <c r="L398" i="45"/>
  <c r="K398" i="45"/>
  <c r="J398" i="45"/>
  <c r="I398" i="45"/>
  <c r="H398" i="45"/>
  <c r="G398" i="45"/>
  <c r="M397" i="45"/>
  <c r="F397" i="45"/>
  <c r="E397" i="45" s="1"/>
  <c r="M396" i="45"/>
  <c r="F396" i="45"/>
  <c r="P395" i="45"/>
  <c r="O395" i="45"/>
  <c r="N395" i="45"/>
  <c r="L395" i="45"/>
  <c r="K395" i="45"/>
  <c r="J395" i="45"/>
  <c r="I395" i="45"/>
  <c r="H395" i="45"/>
  <c r="G395" i="45"/>
  <c r="M394" i="45"/>
  <c r="F394" i="45"/>
  <c r="E394" i="45"/>
  <c r="D394" i="45" s="1"/>
  <c r="M393" i="45"/>
  <c r="F393" i="45"/>
  <c r="E393" i="45"/>
  <c r="P392" i="45"/>
  <c r="O392" i="45"/>
  <c r="N392" i="45"/>
  <c r="L392" i="45"/>
  <c r="K392" i="45"/>
  <c r="J392" i="45"/>
  <c r="I392" i="45"/>
  <c r="H392" i="45"/>
  <c r="G392" i="45"/>
  <c r="M391" i="45"/>
  <c r="F391" i="45"/>
  <c r="E391" i="45"/>
  <c r="M390" i="45"/>
  <c r="F390" i="45"/>
  <c r="F392" i="45" s="1"/>
  <c r="P389" i="45"/>
  <c r="O389" i="45"/>
  <c r="N389" i="45"/>
  <c r="L389" i="45"/>
  <c r="K389" i="45"/>
  <c r="J389" i="45"/>
  <c r="I389" i="45"/>
  <c r="H389" i="45"/>
  <c r="G389" i="45"/>
  <c r="M388" i="45"/>
  <c r="F388" i="45"/>
  <c r="E388" i="45"/>
  <c r="M387" i="45"/>
  <c r="F387" i="45"/>
  <c r="P386" i="45"/>
  <c r="L386" i="45"/>
  <c r="K386" i="45"/>
  <c r="J386" i="45"/>
  <c r="I386" i="45"/>
  <c r="H386" i="45"/>
  <c r="G386" i="45"/>
  <c r="F385" i="45"/>
  <c r="E385" i="45" s="1"/>
  <c r="N384" i="45"/>
  <c r="N375" i="45" s="1"/>
  <c r="M384" i="45"/>
  <c r="F384" i="45"/>
  <c r="P383" i="45"/>
  <c r="O383" i="45"/>
  <c r="N383" i="45"/>
  <c r="L383" i="45"/>
  <c r="K383" i="45"/>
  <c r="J383" i="45"/>
  <c r="I383" i="45"/>
  <c r="H383" i="45"/>
  <c r="G383" i="45"/>
  <c r="M382" i="45"/>
  <c r="F382" i="45"/>
  <c r="E382" i="45" s="1"/>
  <c r="M381" i="45"/>
  <c r="F381" i="45"/>
  <c r="E381" i="45" s="1"/>
  <c r="F383" i="45"/>
  <c r="P380" i="45"/>
  <c r="O380" i="45"/>
  <c r="L380" i="45"/>
  <c r="K380" i="45"/>
  <c r="J380" i="45"/>
  <c r="I380" i="45"/>
  <c r="H380" i="45"/>
  <c r="G380" i="45"/>
  <c r="M379" i="45"/>
  <c r="F379" i="45"/>
  <c r="E379" i="45" s="1"/>
  <c r="D379" i="45" s="1"/>
  <c r="M378" i="45"/>
  <c r="M380" i="45" s="1"/>
  <c r="F378" i="45"/>
  <c r="P376" i="45"/>
  <c r="L376" i="45"/>
  <c r="K376" i="45"/>
  <c r="J376" i="45"/>
  <c r="I376" i="45"/>
  <c r="H376" i="45"/>
  <c r="G376" i="45"/>
  <c r="P375" i="45"/>
  <c r="P377" i="45" s="1"/>
  <c r="L375" i="45"/>
  <c r="L377" i="45" s="1"/>
  <c r="K375" i="45"/>
  <c r="J375" i="45"/>
  <c r="J377" i="45" s="1"/>
  <c r="I375" i="45"/>
  <c r="G375" i="45"/>
  <c r="G377" i="45" s="1"/>
  <c r="P374" i="45"/>
  <c r="L374" i="45"/>
  <c r="J374" i="45"/>
  <c r="I374" i="45"/>
  <c r="H374" i="45"/>
  <c r="G374" i="45"/>
  <c r="M373" i="45"/>
  <c r="F373" i="45"/>
  <c r="O372" i="45"/>
  <c r="N372" i="45"/>
  <c r="F372" i="45"/>
  <c r="E372" i="45" s="1"/>
  <c r="P371" i="45"/>
  <c r="O371" i="45"/>
  <c r="N371" i="45"/>
  <c r="L371" i="45"/>
  <c r="J371" i="45"/>
  <c r="I371" i="45"/>
  <c r="G371" i="45"/>
  <c r="M370" i="45"/>
  <c r="F370" i="45"/>
  <c r="E370" i="45" s="1"/>
  <c r="M369" i="45"/>
  <c r="K369" i="45"/>
  <c r="K371" i="45" s="1"/>
  <c r="H369" i="45"/>
  <c r="P368" i="45"/>
  <c r="O368" i="45"/>
  <c r="N368" i="45"/>
  <c r="L368" i="45"/>
  <c r="K368" i="45"/>
  <c r="J368" i="45"/>
  <c r="I368" i="45"/>
  <c r="H368" i="45"/>
  <c r="G368" i="45"/>
  <c r="M367" i="45"/>
  <c r="F367" i="45"/>
  <c r="M366" i="45"/>
  <c r="F366" i="45"/>
  <c r="E366" i="45" s="1"/>
  <c r="P365" i="45"/>
  <c r="O365" i="45"/>
  <c r="N365" i="45"/>
  <c r="L365" i="45"/>
  <c r="K365" i="45"/>
  <c r="J365" i="45"/>
  <c r="I365" i="45"/>
  <c r="G365" i="45"/>
  <c r="M364" i="45"/>
  <c r="F364" i="45"/>
  <c r="E364" i="45" s="1"/>
  <c r="M363" i="45"/>
  <c r="M365" i="45" s="1"/>
  <c r="H363" i="45"/>
  <c r="P362" i="45"/>
  <c r="O362" i="45"/>
  <c r="N362" i="45"/>
  <c r="L362" i="45"/>
  <c r="K362" i="45"/>
  <c r="J362" i="45"/>
  <c r="I362" i="45"/>
  <c r="G362" i="45"/>
  <c r="M361" i="45"/>
  <c r="F361" i="45"/>
  <c r="E361" i="45" s="1"/>
  <c r="D361" i="45" s="1"/>
  <c r="M360" i="45"/>
  <c r="H360" i="45"/>
  <c r="H362" i="45" s="1"/>
  <c r="F360" i="45"/>
  <c r="E360" i="45" s="1"/>
  <c r="P359" i="45"/>
  <c r="O359" i="45"/>
  <c r="N359" i="45"/>
  <c r="L359" i="45"/>
  <c r="K359" i="45"/>
  <c r="J359" i="45"/>
  <c r="I359" i="45"/>
  <c r="H359" i="45"/>
  <c r="G359" i="45"/>
  <c r="M358" i="45"/>
  <c r="F358" i="45"/>
  <c r="E358" i="45" s="1"/>
  <c r="E359" i="45" s="1"/>
  <c r="M357" i="45"/>
  <c r="M359" i="45" s="1"/>
  <c r="F357" i="45"/>
  <c r="P356" i="45"/>
  <c r="O356" i="45"/>
  <c r="N356" i="45"/>
  <c r="L356" i="45"/>
  <c r="K356" i="45"/>
  <c r="J356" i="45"/>
  <c r="I356" i="45"/>
  <c r="H356" i="45"/>
  <c r="G356" i="45"/>
  <c r="M355" i="45"/>
  <c r="F355" i="45"/>
  <c r="E355" i="45" s="1"/>
  <c r="D355" i="45" s="1"/>
  <c r="M354" i="45"/>
  <c r="M356" i="45" s="1"/>
  <c r="F354" i="45"/>
  <c r="F356" i="45" s="1"/>
  <c r="P353" i="45"/>
  <c r="O353" i="45"/>
  <c r="N353" i="45"/>
  <c r="L353" i="45"/>
  <c r="K353" i="45"/>
  <c r="J353" i="45"/>
  <c r="I353" i="45"/>
  <c r="H353" i="45"/>
  <c r="G353" i="45"/>
  <c r="M352" i="45"/>
  <c r="F352" i="45"/>
  <c r="E352" i="45" s="1"/>
  <c r="M351" i="45"/>
  <c r="F351" i="45"/>
  <c r="E351" i="45" s="1"/>
  <c r="P350" i="45"/>
  <c r="O350" i="45"/>
  <c r="N350" i="45"/>
  <c r="L350" i="45"/>
  <c r="K350" i="45"/>
  <c r="J350" i="45"/>
  <c r="I350" i="45"/>
  <c r="H350" i="45"/>
  <c r="G350" i="45"/>
  <c r="M349" i="45"/>
  <c r="F349" i="45"/>
  <c r="E349" i="45" s="1"/>
  <c r="M348" i="45"/>
  <c r="F348" i="45"/>
  <c r="E348" i="45"/>
  <c r="E350" i="45" s="1"/>
  <c r="P347" i="45"/>
  <c r="O347" i="45"/>
  <c r="N347" i="45"/>
  <c r="L347" i="45"/>
  <c r="K347" i="45"/>
  <c r="J347" i="45"/>
  <c r="I347" i="45"/>
  <c r="H347" i="45"/>
  <c r="G347" i="45"/>
  <c r="M346" i="45"/>
  <c r="F346" i="45"/>
  <c r="E346" i="45"/>
  <c r="M345" i="45"/>
  <c r="F345" i="45"/>
  <c r="F347" i="45" s="1"/>
  <c r="E345" i="45"/>
  <c r="E347" i="45" s="1"/>
  <c r="P343" i="45"/>
  <c r="O343" i="45"/>
  <c r="N343" i="45"/>
  <c r="L343" i="45"/>
  <c r="J343" i="45"/>
  <c r="I343" i="45"/>
  <c r="H343" i="45"/>
  <c r="G343" i="45"/>
  <c r="P342" i="45"/>
  <c r="L342" i="45"/>
  <c r="K342" i="45"/>
  <c r="J342" i="45"/>
  <c r="J344" i="45" s="1"/>
  <c r="I342" i="45"/>
  <c r="H342" i="45"/>
  <c r="H344" i="45" s="1"/>
  <c r="G342" i="45"/>
  <c r="P341" i="45"/>
  <c r="O341" i="45"/>
  <c r="N341" i="45"/>
  <c r="L341" i="45"/>
  <c r="J341" i="45"/>
  <c r="I341" i="45"/>
  <c r="G341" i="45"/>
  <c r="M340" i="45"/>
  <c r="F340" i="45"/>
  <c r="E340" i="45" s="1"/>
  <c r="D340" i="45" s="1"/>
  <c r="M339" i="45"/>
  <c r="M341" i="45" s="1"/>
  <c r="K339" i="45"/>
  <c r="H339" i="45"/>
  <c r="F339" i="45"/>
  <c r="P338" i="45"/>
  <c r="O338" i="45"/>
  <c r="N338" i="45"/>
  <c r="L338" i="45"/>
  <c r="K338" i="45"/>
  <c r="J338" i="45"/>
  <c r="I338" i="45"/>
  <c r="G338" i="45"/>
  <c r="M337" i="45"/>
  <c r="M334" i="45" s="1"/>
  <c r="F337" i="45"/>
  <c r="M336" i="45"/>
  <c r="H336" i="45"/>
  <c r="P334" i="45"/>
  <c r="O334" i="45"/>
  <c r="O335" i="45" s="1"/>
  <c r="N334" i="45"/>
  <c r="L334" i="45"/>
  <c r="K334" i="45"/>
  <c r="J334" i="45"/>
  <c r="I334" i="45"/>
  <c r="H334" i="45"/>
  <c r="G334" i="45"/>
  <c r="P333" i="45"/>
  <c r="P335" i="45" s="1"/>
  <c r="O333" i="45"/>
  <c r="N333" i="45"/>
  <c r="N335" i="45"/>
  <c r="M333" i="45"/>
  <c r="L333" i="45"/>
  <c r="J333" i="45"/>
  <c r="I333" i="45"/>
  <c r="I335" i="45" s="1"/>
  <c r="G333" i="45"/>
  <c r="G335" i="45" s="1"/>
  <c r="P332" i="45"/>
  <c r="O332" i="45"/>
  <c r="N332" i="45"/>
  <c r="L332" i="45"/>
  <c r="K332" i="45"/>
  <c r="J332" i="45"/>
  <c r="I332" i="45"/>
  <c r="H332" i="45"/>
  <c r="G332" i="45"/>
  <c r="M331" i="45"/>
  <c r="F331" i="45"/>
  <c r="M330" i="45"/>
  <c r="M332" i="45" s="1"/>
  <c r="F330" i="45"/>
  <c r="E330" i="45" s="1"/>
  <c r="P329" i="45"/>
  <c r="O329" i="45"/>
  <c r="N329" i="45"/>
  <c r="L329" i="45"/>
  <c r="K329" i="45"/>
  <c r="J329" i="45"/>
  <c r="I329" i="45"/>
  <c r="H329" i="45"/>
  <c r="G329" i="45"/>
  <c r="M328" i="45"/>
  <c r="F328" i="45"/>
  <c r="E328" i="45" s="1"/>
  <c r="D328" i="45" s="1"/>
  <c r="M327" i="45"/>
  <c r="F327" i="45"/>
  <c r="E327" i="45" s="1"/>
  <c r="P326" i="45"/>
  <c r="O326" i="45"/>
  <c r="N326" i="45"/>
  <c r="L326" i="45"/>
  <c r="K326" i="45"/>
  <c r="J326" i="45"/>
  <c r="I326" i="45"/>
  <c r="H326" i="45"/>
  <c r="G326" i="45"/>
  <c r="M325" i="45"/>
  <c r="F325" i="45"/>
  <c r="E325" i="45" s="1"/>
  <c r="M324" i="45"/>
  <c r="F324" i="45"/>
  <c r="E324" i="45" s="1"/>
  <c r="P323" i="45"/>
  <c r="O323" i="45"/>
  <c r="N323" i="45"/>
  <c r="L323" i="45"/>
  <c r="K323" i="45"/>
  <c r="J323" i="45"/>
  <c r="I323" i="45"/>
  <c r="H323" i="45"/>
  <c r="G323" i="45"/>
  <c r="M322" i="45"/>
  <c r="F322" i="45"/>
  <c r="E322" i="45" s="1"/>
  <c r="M321" i="45"/>
  <c r="M323" i="45"/>
  <c r="F321" i="45"/>
  <c r="E321" i="45" s="1"/>
  <c r="P320" i="45"/>
  <c r="O320" i="45"/>
  <c r="N320" i="45"/>
  <c r="L320" i="45"/>
  <c r="K320" i="45"/>
  <c r="J320" i="45"/>
  <c r="I320" i="45"/>
  <c r="G320" i="45"/>
  <c r="M319" i="45"/>
  <c r="F319" i="45"/>
  <c r="E319" i="45"/>
  <c r="D319" i="45" s="1"/>
  <c r="M318" i="45"/>
  <c r="H318" i="45"/>
  <c r="H320" i="45" s="1"/>
  <c r="P317" i="45"/>
  <c r="O317" i="45"/>
  <c r="N317" i="45"/>
  <c r="L317" i="45"/>
  <c r="K317" i="45"/>
  <c r="J317" i="45"/>
  <c r="I317" i="45"/>
  <c r="G317" i="45"/>
  <c r="M316" i="45"/>
  <c r="F316" i="45"/>
  <c r="M315" i="45"/>
  <c r="H315" i="45"/>
  <c r="H317" i="45" s="1"/>
  <c r="F315" i="45"/>
  <c r="F317" i="45" s="1"/>
  <c r="P314" i="45"/>
  <c r="O314" i="45"/>
  <c r="N314" i="45"/>
  <c r="L314" i="45"/>
  <c r="K314" i="45"/>
  <c r="J314" i="45"/>
  <c r="I314" i="45"/>
  <c r="G314" i="45"/>
  <c r="M313" i="45"/>
  <c r="F313" i="45"/>
  <c r="E313" i="45" s="1"/>
  <c r="M312" i="45"/>
  <c r="H312" i="45"/>
  <c r="H314" i="45" s="1"/>
  <c r="P311" i="45"/>
  <c r="N311" i="45"/>
  <c r="L311" i="45"/>
  <c r="J311" i="45"/>
  <c r="I311" i="45"/>
  <c r="G311" i="45"/>
  <c r="M310" i="45"/>
  <c r="F310" i="45"/>
  <c r="E310" i="45" s="1"/>
  <c r="O309" i="45"/>
  <c r="O311" i="45" s="1"/>
  <c r="O306" i="45"/>
  <c r="M309" i="45"/>
  <c r="K309" i="45"/>
  <c r="H309" i="45"/>
  <c r="H311" i="45" s="1"/>
  <c r="F309" i="45"/>
  <c r="P307" i="45"/>
  <c r="O307" i="45"/>
  <c r="N307" i="45"/>
  <c r="L307" i="45"/>
  <c r="K307" i="45"/>
  <c r="J307" i="45"/>
  <c r="I307" i="45"/>
  <c r="H307" i="45"/>
  <c r="G307" i="45"/>
  <c r="P306" i="45"/>
  <c r="N306" i="45"/>
  <c r="N308" i="45" s="1"/>
  <c r="L306" i="45"/>
  <c r="L308" i="45" s="1"/>
  <c r="J306" i="45"/>
  <c r="I306" i="45"/>
  <c r="I308" i="45" s="1"/>
  <c r="G306" i="45"/>
  <c r="G308" i="45" s="1"/>
  <c r="P305" i="45"/>
  <c r="O305" i="45"/>
  <c r="N305" i="45"/>
  <c r="L305" i="45"/>
  <c r="J305" i="45"/>
  <c r="I305" i="45"/>
  <c r="G305" i="45"/>
  <c r="M304" i="45"/>
  <c r="F304" i="45"/>
  <c r="E304" i="45" s="1"/>
  <c r="D304" i="45" s="1"/>
  <c r="M303" i="45"/>
  <c r="H303" i="45"/>
  <c r="H305" i="45" s="1"/>
  <c r="P302" i="45"/>
  <c r="O302" i="45"/>
  <c r="N302" i="45"/>
  <c r="L302" i="45"/>
  <c r="K302" i="45"/>
  <c r="J302" i="45"/>
  <c r="I302" i="45"/>
  <c r="G302" i="45"/>
  <c r="M301" i="45"/>
  <c r="F301" i="45"/>
  <c r="E301" i="45"/>
  <c r="D301" i="45" s="1"/>
  <c r="M300" i="45"/>
  <c r="M302" i="45" s="1"/>
  <c r="H300" i="45"/>
  <c r="P299" i="45"/>
  <c r="O299" i="45"/>
  <c r="N299" i="45"/>
  <c r="L299" i="45"/>
  <c r="K299" i="45"/>
  <c r="J299" i="45"/>
  <c r="I299" i="45"/>
  <c r="H299" i="45"/>
  <c r="G299" i="45"/>
  <c r="M298" i="45"/>
  <c r="F298" i="45"/>
  <c r="E298" i="45" s="1"/>
  <c r="M297" i="45"/>
  <c r="F297" i="45"/>
  <c r="E297" i="45" s="1"/>
  <c r="P296" i="45"/>
  <c r="O296" i="45"/>
  <c r="N296" i="45"/>
  <c r="L296" i="45"/>
  <c r="K296" i="45"/>
  <c r="J296" i="45"/>
  <c r="I296" i="45"/>
  <c r="G296" i="45"/>
  <c r="M295" i="45"/>
  <c r="F295" i="45"/>
  <c r="M294" i="45"/>
  <c r="H294" i="45"/>
  <c r="H296" i="45" s="1"/>
  <c r="P293" i="45"/>
  <c r="O293" i="45"/>
  <c r="N293" i="45"/>
  <c r="L293" i="45"/>
  <c r="K293" i="45"/>
  <c r="J293" i="45"/>
  <c r="I293" i="45"/>
  <c r="H293" i="45"/>
  <c r="G293" i="45"/>
  <c r="M292" i="45"/>
  <c r="F292" i="45"/>
  <c r="M291" i="45"/>
  <c r="M288" i="45" s="1"/>
  <c r="F291" i="45"/>
  <c r="E291" i="45" s="1"/>
  <c r="P289" i="45"/>
  <c r="O289" i="45"/>
  <c r="O290" i="45" s="1"/>
  <c r="N289" i="45"/>
  <c r="L289" i="45"/>
  <c r="K289" i="45"/>
  <c r="J289" i="45"/>
  <c r="I289" i="45"/>
  <c r="H289" i="45"/>
  <c r="G289" i="45"/>
  <c r="P288" i="45"/>
  <c r="P290" i="45" s="1"/>
  <c r="O288" i="45"/>
  <c r="N288" i="45"/>
  <c r="L288" i="45"/>
  <c r="K288" i="45"/>
  <c r="J288" i="45"/>
  <c r="I288" i="45"/>
  <c r="I290" i="45" s="1"/>
  <c r="G288" i="45"/>
  <c r="P287" i="45"/>
  <c r="O287" i="45"/>
  <c r="N287" i="45"/>
  <c r="L287" i="45"/>
  <c r="K287" i="45"/>
  <c r="J287" i="45"/>
  <c r="I287" i="45"/>
  <c r="G287" i="45"/>
  <c r="M286" i="45"/>
  <c r="F286" i="45"/>
  <c r="E286" i="45" s="1"/>
  <c r="D286" i="45" s="1"/>
  <c r="M285" i="45"/>
  <c r="H285" i="45"/>
  <c r="P284" i="45"/>
  <c r="O284" i="45"/>
  <c r="N284" i="45"/>
  <c r="L284" i="45"/>
  <c r="K284" i="45"/>
  <c r="J284" i="45"/>
  <c r="I284" i="45"/>
  <c r="H284" i="45"/>
  <c r="G284" i="45"/>
  <c r="M283" i="45"/>
  <c r="F283" i="45"/>
  <c r="E283" i="45"/>
  <c r="M282" i="45"/>
  <c r="F282" i="45"/>
  <c r="E282" i="45" s="1"/>
  <c r="P281" i="45"/>
  <c r="N281" i="45"/>
  <c r="L281" i="45"/>
  <c r="K281" i="45"/>
  <c r="J281" i="45"/>
  <c r="I281" i="45"/>
  <c r="H281" i="45"/>
  <c r="G281" i="45"/>
  <c r="M280" i="45"/>
  <c r="F280" i="45"/>
  <c r="O279" i="45"/>
  <c r="O281" i="45"/>
  <c r="M279" i="45"/>
  <c r="F279" i="45"/>
  <c r="E279" i="45" s="1"/>
  <c r="P278" i="45"/>
  <c r="O278" i="45"/>
  <c r="N278" i="45"/>
  <c r="L278" i="45"/>
  <c r="K278" i="45"/>
  <c r="J278" i="45"/>
  <c r="I278" i="45"/>
  <c r="H278" i="45"/>
  <c r="G278" i="45"/>
  <c r="M277" i="45"/>
  <c r="F277" i="45"/>
  <c r="E277" i="45" s="1"/>
  <c r="M276" i="45"/>
  <c r="F276" i="45"/>
  <c r="E276" i="45"/>
  <c r="P275" i="45"/>
  <c r="O275" i="45"/>
  <c r="N275" i="45"/>
  <c r="L275" i="45"/>
  <c r="K275" i="45"/>
  <c r="J275" i="45"/>
  <c r="I275" i="45"/>
  <c r="H275" i="45"/>
  <c r="G275" i="45"/>
  <c r="M274" i="45"/>
  <c r="F274" i="45"/>
  <c r="E274" i="45"/>
  <c r="M273" i="45"/>
  <c r="M275" i="45"/>
  <c r="F273" i="45"/>
  <c r="P271" i="45"/>
  <c r="O271" i="45"/>
  <c r="N271" i="45"/>
  <c r="L271" i="45"/>
  <c r="K271" i="45"/>
  <c r="J271" i="45"/>
  <c r="I271" i="45"/>
  <c r="H271" i="45"/>
  <c r="G271" i="45"/>
  <c r="P270" i="45"/>
  <c r="P272" i="45" s="1"/>
  <c r="O270" i="45"/>
  <c r="O272" i="45" s="1"/>
  <c r="N270" i="45"/>
  <c r="N272" i="45" s="1"/>
  <c r="L270" i="45"/>
  <c r="L272" i="45" s="1"/>
  <c r="K270" i="45"/>
  <c r="J270" i="45"/>
  <c r="I270" i="45"/>
  <c r="G270" i="45"/>
  <c r="P269" i="45"/>
  <c r="O269" i="45"/>
  <c r="L269" i="45"/>
  <c r="K269" i="45"/>
  <c r="J269" i="45"/>
  <c r="I269" i="45"/>
  <c r="G269" i="45"/>
  <c r="F268" i="45"/>
  <c r="E268" i="45" s="1"/>
  <c r="M267" i="45"/>
  <c r="H267" i="45"/>
  <c r="P266" i="45"/>
  <c r="O266" i="45"/>
  <c r="N266" i="45"/>
  <c r="L266" i="45"/>
  <c r="K266" i="45"/>
  <c r="J266" i="45"/>
  <c r="I266" i="45"/>
  <c r="H266" i="45"/>
  <c r="G266" i="45"/>
  <c r="M265" i="45"/>
  <c r="F265" i="45"/>
  <c r="E265" i="45" s="1"/>
  <c r="M264" i="45"/>
  <c r="M266" i="45" s="1"/>
  <c r="F264" i="45"/>
  <c r="E264" i="45" s="1"/>
  <c r="P263" i="45"/>
  <c r="O263" i="45"/>
  <c r="N263" i="45"/>
  <c r="L263" i="45"/>
  <c r="K263" i="45"/>
  <c r="J263" i="45"/>
  <c r="I263" i="45"/>
  <c r="H263" i="45"/>
  <c r="G263" i="45"/>
  <c r="M262" i="45"/>
  <c r="F262" i="45"/>
  <c r="E262" i="45" s="1"/>
  <c r="D262" i="45" s="1"/>
  <c r="M261" i="45"/>
  <c r="M263" i="45" s="1"/>
  <c r="F261" i="45"/>
  <c r="P260" i="45"/>
  <c r="O260" i="45"/>
  <c r="N260" i="45"/>
  <c r="L260" i="45"/>
  <c r="K260" i="45"/>
  <c r="J260" i="45"/>
  <c r="I260" i="45"/>
  <c r="G260" i="45"/>
  <c r="M259" i="45"/>
  <c r="F259" i="45"/>
  <c r="E259" i="45" s="1"/>
  <c r="M258" i="45"/>
  <c r="H258" i="45"/>
  <c r="F258" i="45"/>
  <c r="E258" i="45" s="1"/>
  <c r="E260" i="45" s="1"/>
  <c r="P257" i="45"/>
  <c r="O257" i="45"/>
  <c r="N257" i="45"/>
  <c r="L257" i="45"/>
  <c r="K257" i="45"/>
  <c r="J257" i="45"/>
  <c r="I257" i="45"/>
  <c r="G257" i="45"/>
  <c r="M256" i="45"/>
  <c r="F256" i="45"/>
  <c r="E256" i="45" s="1"/>
  <c r="D256" i="45" s="1"/>
  <c r="M255" i="45"/>
  <c r="M257" i="45" s="1"/>
  <c r="H255" i="45"/>
  <c r="H257" i="45" s="1"/>
  <c r="P254" i="45"/>
  <c r="O254" i="45"/>
  <c r="N254" i="45"/>
  <c r="L254" i="45"/>
  <c r="K254" i="45"/>
  <c r="J254" i="45"/>
  <c r="I254" i="45"/>
  <c r="G254" i="45"/>
  <c r="M253" i="45"/>
  <c r="F253" i="45"/>
  <c r="M252" i="45"/>
  <c r="M254" i="45" s="1"/>
  <c r="H252" i="45"/>
  <c r="P251" i="45"/>
  <c r="O251" i="45"/>
  <c r="N251" i="45"/>
  <c r="L251" i="45"/>
  <c r="K251" i="45"/>
  <c r="J251" i="45"/>
  <c r="I251" i="45"/>
  <c r="H251" i="45"/>
  <c r="G251" i="45"/>
  <c r="M250" i="45"/>
  <c r="F250" i="45"/>
  <c r="E250" i="45"/>
  <c r="M249" i="45"/>
  <c r="M251" i="45" s="1"/>
  <c r="F249" i="45"/>
  <c r="P248" i="45"/>
  <c r="O248" i="45"/>
  <c r="N248" i="45"/>
  <c r="L248" i="45"/>
  <c r="K248" i="45"/>
  <c r="J248" i="45"/>
  <c r="I248" i="45"/>
  <c r="H248" i="45"/>
  <c r="G248" i="45"/>
  <c r="M247" i="45"/>
  <c r="F247" i="45"/>
  <c r="M246" i="45"/>
  <c r="M248" i="45" s="1"/>
  <c r="F246" i="45"/>
  <c r="E246" i="45" s="1"/>
  <c r="P245" i="45"/>
  <c r="O245" i="45"/>
  <c r="N245" i="45"/>
  <c r="L245" i="45"/>
  <c r="K245" i="45"/>
  <c r="J245" i="45"/>
  <c r="I245" i="45"/>
  <c r="H245" i="45"/>
  <c r="G245" i="45"/>
  <c r="M244" i="45"/>
  <c r="F244" i="45"/>
  <c r="E244" i="45" s="1"/>
  <c r="D244" i="45" s="1"/>
  <c r="M243" i="45"/>
  <c r="M245" i="45"/>
  <c r="F243" i="45"/>
  <c r="E243" i="45" s="1"/>
  <c r="D243" i="45" s="1"/>
  <c r="P242" i="45"/>
  <c r="O242" i="45"/>
  <c r="N242" i="45"/>
  <c r="L242" i="45"/>
  <c r="K242" i="45"/>
  <c r="J242" i="45"/>
  <c r="I242" i="45"/>
  <c r="H242" i="45"/>
  <c r="G242" i="45"/>
  <c r="M241" i="45"/>
  <c r="F241" i="45"/>
  <c r="E241" i="45" s="1"/>
  <c r="M240" i="45"/>
  <c r="F240" i="45"/>
  <c r="E240" i="45"/>
  <c r="P238" i="45"/>
  <c r="O238" i="45"/>
  <c r="N238" i="45"/>
  <c r="L238" i="45"/>
  <c r="K238" i="45"/>
  <c r="J238" i="45"/>
  <c r="I238" i="45"/>
  <c r="H238" i="45"/>
  <c r="G238" i="45"/>
  <c r="P237" i="45"/>
  <c r="O237" i="45"/>
  <c r="N237" i="45"/>
  <c r="L237" i="45"/>
  <c r="K237" i="45"/>
  <c r="J237" i="45"/>
  <c r="J239" i="45" s="1"/>
  <c r="I237" i="45"/>
  <c r="G237" i="45"/>
  <c r="P236" i="45"/>
  <c r="O236" i="45"/>
  <c r="N236" i="45"/>
  <c r="L236" i="45"/>
  <c r="K236" i="45"/>
  <c r="J236" i="45"/>
  <c r="I236" i="45"/>
  <c r="H236" i="45"/>
  <c r="G236" i="45"/>
  <c r="M235" i="45"/>
  <c r="F235" i="45"/>
  <c r="E235" i="45" s="1"/>
  <c r="D235" i="45" s="1"/>
  <c r="D236" i="45" s="1"/>
  <c r="M234" i="45"/>
  <c r="F234" i="45"/>
  <c r="E234" i="45" s="1"/>
  <c r="D234" i="45" s="1"/>
  <c r="F236" i="45"/>
  <c r="P233" i="45"/>
  <c r="O233" i="45"/>
  <c r="N233" i="45"/>
  <c r="L233" i="45"/>
  <c r="K233" i="45"/>
  <c r="J233" i="45"/>
  <c r="I233" i="45"/>
  <c r="H233" i="45"/>
  <c r="G233" i="45"/>
  <c r="M232" i="45"/>
  <c r="F232" i="45"/>
  <c r="M231" i="45"/>
  <c r="F231" i="45"/>
  <c r="E231" i="45" s="1"/>
  <c r="P230" i="45"/>
  <c r="O230" i="45"/>
  <c r="N230" i="45"/>
  <c r="L230" i="45"/>
  <c r="K230" i="45"/>
  <c r="J230" i="45"/>
  <c r="I230" i="45"/>
  <c r="H230" i="45"/>
  <c r="G230" i="45"/>
  <c r="M229" i="45"/>
  <c r="F229" i="45"/>
  <c r="E229" i="45" s="1"/>
  <c r="M228" i="45"/>
  <c r="F228" i="45"/>
  <c r="P227" i="45"/>
  <c r="O227" i="45"/>
  <c r="N227" i="45"/>
  <c r="L227" i="45"/>
  <c r="K227" i="45"/>
  <c r="J227" i="45"/>
  <c r="I227" i="45"/>
  <c r="G227" i="45"/>
  <c r="M226" i="45"/>
  <c r="F226" i="45"/>
  <c r="E226" i="45" s="1"/>
  <c r="M225" i="45"/>
  <c r="M227" i="45" s="1"/>
  <c r="H225" i="45"/>
  <c r="P224" i="45"/>
  <c r="O224" i="45"/>
  <c r="N224" i="45"/>
  <c r="L224" i="45"/>
  <c r="K224" i="45"/>
  <c r="J224" i="45"/>
  <c r="I224" i="45"/>
  <c r="G224" i="45"/>
  <c r="M223" i="45"/>
  <c r="F223" i="45"/>
  <c r="E223" i="45" s="1"/>
  <c r="D223" i="45" s="1"/>
  <c r="M222" i="45"/>
  <c r="H222" i="45"/>
  <c r="H224" i="45" s="1"/>
  <c r="P221" i="45"/>
  <c r="O221" i="45"/>
  <c r="N221" i="45"/>
  <c r="L221" i="45"/>
  <c r="K221" i="45"/>
  <c r="J221" i="45"/>
  <c r="I221" i="45"/>
  <c r="H221" i="45"/>
  <c r="G221" i="45"/>
  <c r="M220" i="45"/>
  <c r="F220" i="45"/>
  <c r="E220" i="45" s="1"/>
  <c r="D220" i="45" s="1"/>
  <c r="M219" i="45"/>
  <c r="M221" i="45" s="1"/>
  <c r="F219" i="45"/>
  <c r="E219" i="45"/>
  <c r="P218" i="45"/>
  <c r="N218" i="45"/>
  <c r="L218" i="45"/>
  <c r="J218" i="45"/>
  <c r="I218" i="45"/>
  <c r="H218" i="45"/>
  <c r="G218" i="45"/>
  <c r="M217" i="45"/>
  <c r="F217" i="45"/>
  <c r="O216" i="45"/>
  <c r="O218" i="45" s="1"/>
  <c r="M216" i="45"/>
  <c r="K216" i="45"/>
  <c r="K218" i="45" s="1"/>
  <c r="F216" i="45"/>
  <c r="P215" i="45"/>
  <c r="O215" i="45"/>
  <c r="N215" i="45"/>
  <c r="L215" i="45"/>
  <c r="J215" i="45"/>
  <c r="I215" i="45"/>
  <c r="G215" i="45"/>
  <c r="M214" i="45"/>
  <c r="F214" i="45"/>
  <c r="E214" i="45" s="1"/>
  <c r="D214" i="45" s="1"/>
  <c r="M213" i="45"/>
  <c r="M215" i="45" s="1"/>
  <c r="K213" i="45"/>
  <c r="K215" i="45" s="1"/>
  <c r="H213" i="45"/>
  <c r="P212" i="45"/>
  <c r="O212" i="45"/>
  <c r="N212" i="45"/>
  <c r="L212" i="45"/>
  <c r="K212" i="45"/>
  <c r="J212" i="45"/>
  <c r="I212" i="45"/>
  <c r="G212" i="45"/>
  <c r="M211" i="45"/>
  <c r="F211" i="45"/>
  <c r="E211" i="45" s="1"/>
  <c r="M210" i="45"/>
  <c r="H210" i="45"/>
  <c r="F210" i="45" s="1"/>
  <c r="P209" i="45"/>
  <c r="O209" i="45"/>
  <c r="N209" i="45"/>
  <c r="L209" i="45"/>
  <c r="K209" i="45"/>
  <c r="J209" i="45"/>
  <c r="I209" i="45"/>
  <c r="G209" i="45"/>
  <c r="M208" i="45"/>
  <c r="F208" i="45"/>
  <c r="M207" i="45"/>
  <c r="H207" i="45"/>
  <c r="H209" i="45" s="1"/>
  <c r="F207" i="45"/>
  <c r="P206" i="45"/>
  <c r="O206" i="45"/>
  <c r="N206" i="45"/>
  <c r="L206" i="45"/>
  <c r="K206" i="45"/>
  <c r="J206" i="45"/>
  <c r="I206" i="45"/>
  <c r="H206" i="45"/>
  <c r="G206" i="45"/>
  <c r="M205" i="45"/>
  <c r="F205" i="45"/>
  <c r="E205" i="45" s="1"/>
  <c r="M204" i="45"/>
  <c r="F204" i="45"/>
  <c r="P203" i="45"/>
  <c r="O203" i="45"/>
  <c r="N203" i="45"/>
  <c r="L203" i="45"/>
  <c r="K203" i="45"/>
  <c r="J203" i="45"/>
  <c r="I203" i="45"/>
  <c r="H203" i="45"/>
  <c r="G203" i="45"/>
  <c r="M202" i="45"/>
  <c r="F202" i="45"/>
  <c r="E202" i="45" s="1"/>
  <c r="M201" i="45"/>
  <c r="F201" i="45"/>
  <c r="P200" i="45"/>
  <c r="O200" i="45"/>
  <c r="N200" i="45"/>
  <c r="L200" i="45"/>
  <c r="J200" i="45"/>
  <c r="I200" i="45"/>
  <c r="G200" i="45"/>
  <c r="M199" i="45"/>
  <c r="F199" i="45"/>
  <c r="E199" i="45"/>
  <c r="D199" i="45" s="1"/>
  <c r="M198" i="45"/>
  <c r="K198" i="45"/>
  <c r="K200" i="45" s="1"/>
  <c r="H198" i="45"/>
  <c r="P197" i="45"/>
  <c r="O197" i="45"/>
  <c r="N197" i="45"/>
  <c r="L197" i="45"/>
  <c r="K197" i="45"/>
  <c r="J197" i="45"/>
  <c r="I197" i="45"/>
  <c r="H197" i="45"/>
  <c r="G197" i="45"/>
  <c r="M196" i="45"/>
  <c r="F196" i="45"/>
  <c r="E196" i="45" s="1"/>
  <c r="M195" i="45"/>
  <c r="F195" i="45"/>
  <c r="F197" i="45" s="1"/>
  <c r="P194" i="45"/>
  <c r="O194" i="45"/>
  <c r="N194" i="45"/>
  <c r="L194" i="45"/>
  <c r="K194" i="45"/>
  <c r="J194" i="45"/>
  <c r="I194" i="45"/>
  <c r="H194" i="45"/>
  <c r="G194" i="45"/>
  <c r="M193" i="45"/>
  <c r="F193" i="45"/>
  <c r="M192" i="45"/>
  <c r="M194" i="45" s="1"/>
  <c r="F192" i="45"/>
  <c r="E192" i="45" s="1"/>
  <c r="P190" i="45"/>
  <c r="O190" i="45"/>
  <c r="N190" i="45"/>
  <c r="L190" i="45"/>
  <c r="K190" i="45"/>
  <c r="J190" i="45"/>
  <c r="I190" i="45"/>
  <c r="H190" i="45"/>
  <c r="G190" i="45"/>
  <c r="P189" i="45"/>
  <c r="N189" i="45"/>
  <c r="L189" i="45"/>
  <c r="L191" i="45" s="1"/>
  <c r="K189" i="45"/>
  <c r="K191" i="45" s="1"/>
  <c r="J189" i="45"/>
  <c r="I189" i="45"/>
  <c r="G189" i="45"/>
  <c r="G191" i="45" s="1"/>
  <c r="P188" i="45"/>
  <c r="O188" i="45"/>
  <c r="N188" i="45"/>
  <c r="L188" i="45"/>
  <c r="K188" i="45"/>
  <c r="J188" i="45"/>
  <c r="I188" i="45"/>
  <c r="H188" i="45"/>
  <c r="G188" i="45"/>
  <c r="M187" i="45"/>
  <c r="M184" i="45" s="1"/>
  <c r="M185" i="45" s="1"/>
  <c r="F187" i="45"/>
  <c r="E187" i="45" s="1"/>
  <c r="E184" i="45" s="1"/>
  <c r="M186" i="45"/>
  <c r="M188" i="45"/>
  <c r="F186" i="45"/>
  <c r="P184" i="45"/>
  <c r="O184" i="45"/>
  <c r="N184" i="45"/>
  <c r="L184" i="45"/>
  <c r="K184" i="45"/>
  <c r="J184" i="45"/>
  <c r="I184" i="45"/>
  <c r="H184" i="45"/>
  <c r="G184" i="45"/>
  <c r="P183" i="45"/>
  <c r="P185" i="45" s="1"/>
  <c r="O183" i="45"/>
  <c r="N183" i="45"/>
  <c r="M183" i="45"/>
  <c r="L183" i="45"/>
  <c r="L185" i="45" s="1"/>
  <c r="K183" i="45"/>
  <c r="K185" i="45" s="1"/>
  <c r="J183" i="45"/>
  <c r="J185" i="45" s="1"/>
  <c r="I183" i="45"/>
  <c r="I185" i="45" s="1"/>
  <c r="H183" i="45"/>
  <c r="H185" i="45" s="1"/>
  <c r="G183" i="45"/>
  <c r="P182" i="45"/>
  <c r="O182" i="45"/>
  <c r="N182" i="45"/>
  <c r="L182" i="45"/>
  <c r="K182" i="45"/>
  <c r="J182" i="45"/>
  <c r="I182" i="45"/>
  <c r="H182" i="45"/>
  <c r="G182" i="45"/>
  <c r="M181" i="45"/>
  <c r="F181" i="45"/>
  <c r="E181" i="45" s="1"/>
  <c r="M180" i="45"/>
  <c r="F180" i="45"/>
  <c r="E180" i="45" s="1"/>
  <c r="P179" i="45"/>
  <c r="O179" i="45"/>
  <c r="N179" i="45"/>
  <c r="L179" i="45"/>
  <c r="K179" i="45"/>
  <c r="J179" i="45"/>
  <c r="I179" i="45"/>
  <c r="H179" i="45"/>
  <c r="G179" i="45"/>
  <c r="M178" i="45"/>
  <c r="F178" i="45"/>
  <c r="E178" i="45" s="1"/>
  <c r="M177" i="45"/>
  <c r="F177" i="45"/>
  <c r="E177" i="45" s="1"/>
  <c r="P175" i="45"/>
  <c r="O175" i="45"/>
  <c r="N175" i="45"/>
  <c r="L175" i="45"/>
  <c r="K175" i="45"/>
  <c r="J175" i="45"/>
  <c r="I175" i="45"/>
  <c r="H175" i="45"/>
  <c r="G175" i="45"/>
  <c r="P174" i="45"/>
  <c r="O174" i="45"/>
  <c r="O176" i="45" s="1"/>
  <c r="N174" i="45"/>
  <c r="L174" i="45"/>
  <c r="L176" i="45" s="1"/>
  <c r="K174" i="45"/>
  <c r="K176" i="45" s="1"/>
  <c r="J174" i="45"/>
  <c r="J176" i="45" s="1"/>
  <c r="I174" i="45"/>
  <c r="H174" i="45"/>
  <c r="G174" i="45"/>
  <c r="P173" i="45"/>
  <c r="O173" i="45"/>
  <c r="N173" i="45"/>
  <c r="L173" i="45"/>
  <c r="K173" i="45"/>
  <c r="J173" i="45"/>
  <c r="I173" i="45"/>
  <c r="H173" i="45"/>
  <c r="G173" i="45"/>
  <c r="M172" i="45"/>
  <c r="F172" i="45"/>
  <c r="E172" i="45" s="1"/>
  <c r="M171" i="45"/>
  <c r="F171" i="45"/>
  <c r="P170" i="45"/>
  <c r="O170" i="45"/>
  <c r="N170" i="45"/>
  <c r="L170" i="45"/>
  <c r="K170" i="45"/>
  <c r="J170" i="45"/>
  <c r="I170" i="45"/>
  <c r="H170" i="45"/>
  <c r="G170" i="45"/>
  <c r="M169" i="45"/>
  <c r="F169" i="45"/>
  <c r="E169" i="45" s="1"/>
  <c r="M168" i="45"/>
  <c r="F168" i="45"/>
  <c r="E168" i="45"/>
  <c r="D168" i="45" s="1"/>
  <c r="P166" i="45"/>
  <c r="O166" i="45"/>
  <c r="N166" i="45"/>
  <c r="M166" i="45"/>
  <c r="L166" i="45"/>
  <c r="K166" i="45"/>
  <c r="J166" i="45"/>
  <c r="I166" i="45"/>
  <c r="H166" i="45"/>
  <c r="G166" i="45"/>
  <c r="P165" i="45"/>
  <c r="O165" i="45"/>
  <c r="O167" i="45" s="1"/>
  <c r="N165" i="45"/>
  <c r="N167" i="45" s="1"/>
  <c r="L165" i="45"/>
  <c r="L167" i="45" s="1"/>
  <c r="K165" i="45"/>
  <c r="K167" i="45"/>
  <c r="J165" i="45"/>
  <c r="J167" i="45" s="1"/>
  <c r="I165" i="45"/>
  <c r="H165" i="45"/>
  <c r="H167" i="45" s="1"/>
  <c r="G165" i="45"/>
  <c r="P164" i="45"/>
  <c r="O164" i="45"/>
  <c r="N164" i="45"/>
  <c r="L164" i="45"/>
  <c r="K164" i="45"/>
  <c r="J164" i="45"/>
  <c r="I164" i="45"/>
  <c r="H164" i="45"/>
  <c r="G164" i="45"/>
  <c r="M163" i="45"/>
  <c r="F163" i="45"/>
  <c r="F160" i="45" s="1"/>
  <c r="M162" i="45"/>
  <c r="F162" i="45"/>
  <c r="P160" i="45"/>
  <c r="O160" i="45"/>
  <c r="N160" i="45"/>
  <c r="L160" i="45"/>
  <c r="K160" i="45"/>
  <c r="J160" i="45"/>
  <c r="I160" i="45"/>
  <c r="H160" i="45"/>
  <c r="G160" i="45"/>
  <c r="P159" i="45"/>
  <c r="P161" i="45" s="1"/>
  <c r="O159" i="45"/>
  <c r="O161" i="45" s="1"/>
  <c r="N159" i="45"/>
  <c r="L159" i="45"/>
  <c r="L161" i="45" s="1"/>
  <c r="K159" i="45"/>
  <c r="K161" i="45" s="1"/>
  <c r="J159" i="45"/>
  <c r="I159" i="45"/>
  <c r="H159" i="45"/>
  <c r="H161" i="45" s="1"/>
  <c r="G159" i="45"/>
  <c r="G161" i="45"/>
  <c r="P158" i="45"/>
  <c r="O158" i="45"/>
  <c r="N158" i="45"/>
  <c r="L158" i="45"/>
  <c r="J158" i="45"/>
  <c r="I158" i="45"/>
  <c r="H158" i="45"/>
  <c r="G158" i="45"/>
  <c r="M157" i="45"/>
  <c r="F157" i="45"/>
  <c r="E157" i="45"/>
  <c r="D157" i="45" s="1"/>
  <c r="M156" i="45"/>
  <c r="M158" i="45" s="1"/>
  <c r="K156" i="45"/>
  <c r="K158" i="45" s="1"/>
  <c r="F156" i="45"/>
  <c r="F158" i="45" s="1"/>
  <c r="P155" i="45"/>
  <c r="O155" i="45"/>
  <c r="N155" i="45"/>
  <c r="L155" i="45"/>
  <c r="K155" i="45"/>
  <c r="J155" i="45"/>
  <c r="I155" i="45"/>
  <c r="G155" i="45"/>
  <c r="M154" i="45"/>
  <c r="F154" i="45"/>
  <c r="E154" i="45" s="1"/>
  <c r="M153" i="45"/>
  <c r="H153" i="45"/>
  <c r="F153" i="45" s="1"/>
  <c r="E153" i="45" s="1"/>
  <c r="P152" i="45"/>
  <c r="O152" i="45"/>
  <c r="N152" i="45"/>
  <c r="L152" i="45"/>
  <c r="J152" i="45"/>
  <c r="I152" i="45"/>
  <c r="H152" i="45"/>
  <c r="G152" i="45"/>
  <c r="M151" i="45"/>
  <c r="F151" i="45"/>
  <c r="E151" i="45" s="1"/>
  <c r="M150" i="45"/>
  <c r="K150" i="45"/>
  <c r="K152" i="45"/>
  <c r="F150" i="45"/>
  <c r="E150" i="45" s="1"/>
  <c r="D150" i="45" s="1"/>
  <c r="P149" i="45"/>
  <c r="O149" i="45"/>
  <c r="N149" i="45"/>
  <c r="L149" i="45"/>
  <c r="K149" i="45"/>
  <c r="J149" i="45"/>
  <c r="I149" i="45"/>
  <c r="G149" i="45"/>
  <c r="M148" i="45"/>
  <c r="F148" i="45"/>
  <c r="E148" i="45" s="1"/>
  <c r="M147" i="45"/>
  <c r="M149" i="45" s="1"/>
  <c r="H147" i="45"/>
  <c r="P146" i="45"/>
  <c r="O146" i="45"/>
  <c r="N146" i="45"/>
  <c r="L146" i="45"/>
  <c r="J146" i="45"/>
  <c r="I146" i="45"/>
  <c r="H146" i="45"/>
  <c r="G146" i="45"/>
  <c r="M145" i="45"/>
  <c r="F145" i="45"/>
  <c r="E145" i="45" s="1"/>
  <c r="M144" i="45"/>
  <c r="K144" i="45"/>
  <c r="F144" i="45"/>
  <c r="P143" i="45"/>
  <c r="O143" i="45"/>
  <c r="N143" i="45"/>
  <c r="L143" i="45"/>
  <c r="K143" i="45"/>
  <c r="J143" i="45"/>
  <c r="I143" i="45"/>
  <c r="G143" i="45"/>
  <c r="M142" i="45"/>
  <c r="F142" i="45"/>
  <c r="M141" i="45"/>
  <c r="M138" i="45" s="1"/>
  <c r="H141" i="45"/>
  <c r="P139" i="45"/>
  <c r="O139" i="45"/>
  <c r="N139" i="45"/>
  <c r="L139" i="45"/>
  <c r="J139" i="45"/>
  <c r="I139" i="45"/>
  <c r="H139" i="45"/>
  <c r="G139" i="45"/>
  <c r="P138" i="45"/>
  <c r="O138" i="45"/>
  <c r="O140" i="45" s="1"/>
  <c r="N138" i="45"/>
  <c r="L138" i="45"/>
  <c r="J138" i="45"/>
  <c r="I138" i="45"/>
  <c r="G138" i="45"/>
  <c r="G140" i="45" s="1"/>
  <c r="P137" i="45"/>
  <c r="O137" i="45"/>
  <c r="N137" i="45"/>
  <c r="L137" i="45"/>
  <c r="K137" i="45"/>
  <c r="J137" i="45"/>
  <c r="I137" i="45"/>
  <c r="H137" i="45"/>
  <c r="G137" i="45"/>
  <c r="M136" i="45"/>
  <c r="F136" i="45"/>
  <c r="E136" i="45" s="1"/>
  <c r="M135" i="45"/>
  <c r="F135" i="45"/>
  <c r="P134" i="45"/>
  <c r="O134" i="45"/>
  <c r="N134" i="45"/>
  <c r="L134" i="45"/>
  <c r="K134" i="45"/>
  <c r="J134" i="45"/>
  <c r="I134" i="45"/>
  <c r="H134" i="45"/>
  <c r="G134" i="45"/>
  <c r="M133" i="45"/>
  <c r="F133" i="45"/>
  <c r="M132" i="45"/>
  <c r="F132" i="45"/>
  <c r="P130" i="45"/>
  <c r="P131" i="45" s="1"/>
  <c r="O130" i="45"/>
  <c r="O131" i="45" s="1"/>
  <c r="N130" i="45"/>
  <c r="L130" i="45"/>
  <c r="K130" i="45"/>
  <c r="K131" i="45" s="1"/>
  <c r="J130" i="45"/>
  <c r="I130" i="45"/>
  <c r="H130" i="45"/>
  <c r="H131" i="45"/>
  <c r="G130" i="45"/>
  <c r="P129" i="45"/>
  <c r="O129" i="45"/>
  <c r="N129" i="45"/>
  <c r="N131" i="45" s="1"/>
  <c r="L129" i="45"/>
  <c r="L131" i="45" s="1"/>
  <c r="K129" i="45"/>
  <c r="J129" i="45"/>
  <c r="I129" i="45"/>
  <c r="I131" i="45"/>
  <c r="H129" i="45"/>
  <c r="G129" i="45"/>
  <c r="P128" i="45"/>
  <c r="L128" i="45"/>
  <c r="J128" i="45"/>
  <c r="I128" i="45"/>
  <c r="G128" i="45"/>
  <c r="M127" i="45"/>
  <c r="M124" i="45" s="1"/>
  <c r="F127" i="45"/>
  <c r="E127" i="45" s="1"/>
  <c r="E124" i="45" s="1"/>
  <c r="O126" i="45"/>
  <c r="O128" i="45" s="1"/>
  <c r="N126" i="45"/>
  <c r="M126" i="45" s="1"/>
  <c r="M123" i="45" s="1"/>
  <c r="M125" i="45" s="1"/>
  <c r="K126" i="45"/>
  <c r="K128" i="45" s="1"/>
  <c r="H126" i="45"/>
  <c r="F126" i="45" s="1"/>
  <c r="E126" i="45" s="1"/>
  <c r="H123" i="45"/>
  <c r="P124" i="45"/>
  <c r="O124" i="45"/>
  <c r="N124" i="45"/>
  <c r="L124" i="45"/>
  <c r="K124" i="45"/>
  <c r="J124" i="45"/>
  <c r="I124" i="45"/>
  <c r="H124" i="45"/>
  <c r="G124" i="45"/>
  <c r="P123" i="45"/>
  <c r="L123" i="45"/>
  <c r="K123" i="45"/>
  <c r="K125" i="45" s="1"/>
  <c r="J123" i="45"/>
  <c r="J125" i="45" s="1"/>
  <c r="I123" i="45"/>
  <c r="G123" i="45"/>
  <c r="P119" i="45"/>
  <c r="O119" i="45"/>
  <c r="N119" i="45"/>
  <c r="L119" i="45"/>
  <c r="K119" i="45"/>
  <c r="J119" i="45"/>
  <c r="I119" i="45"/>
  <c r="G119" i="45"/>
  <c r="M118" i="45"/>
  <c r="F118" i="45"/>
  <c r="E118" i="45" s="1"/>
  <c r="D118" i="45" s="1"/>
  <c r="M117" i="45"/>
  <c r="M119" i="45" s="1"/>
  <c r="H117" i="45"/>
  <c r="F117" i="45" s="1"/>
  <c r="P116" i="45"/>
  <c r="O116" i="45"/>
  <c r="N116" i="45"/>
  <c r="L116" i="45"/>
  <c r="K116" i="45"/>
  <c r="J116" i="45"/>
  <c r="I116" i="45"/>
  <c r="H116" i="45"/>
  <c r="G116" i="45"/>
  <c r="M115" i="45"/>
  <c r="F115" i="45"/>
  <c r="E115" i="45" s="1"/>
  <c r="D115" i="45" s="1"/>
  <c r="M114" i="45"/>
  <c r="F114" i="45"/>
  <c r="F116" i="45" s="1"/>
  <c r="P113" i="45"/>
  <c r="O113" i="45"/>
  <c r="N113" i="45"/>
  <c r="L113" i="45"/>
  <c r="K113" i="45"/>
  <c r="J113" i="45"/>
  <c r="I113" i="45"/>
  <c r="G113" i="45"/>
  <c r="M112" i="45"/>
  <c r="F112" i="45"/>
  <c r="M111" i="45"/>
  <c r="H111" i="45"/>
  <c r="P110" i="45"/>
  <c r="O110" i="45"/>
  <c r="N110" i="45"/>
  <c r="L110" i="45"/>
  <c r="K110" i="45"/>
  <c r="J110" i="45"/>
  <c r="I110" i="45"/>
  <c r="G110" i="45"/>
  <c r="M109" i="45"/>
  <c r="F109" i="45"/>
  <c r="E109" i="45"/>
  <c r="M108" i="45"/>
  <c r="H108" i="45"/>
  <c r="N107" i="45"/>
  <c r="I107" i="45"/>
  <c r="G107" i="45"/>
  <c r="J107" i="45"/>
  <c r="O107" i="45"/>
  <c r="L107" i="45"/>
  <c r="K107" i="45"/>
  <c r="P104" i="45"/>
  <c r="O104" i="45"/>
  <c r="N104" i="45"/>
  <c r="L104" i="45"/>
  <c r="K104" i="45"/>
  <c r="J104" i="45"/>
  <c r="I104" i="45"/>
  <c r="G104" i="45"/>
  <c r="M103" i="45"/>
  <c r="M100" i="45" s="1"/>
  <c r="F103" i="45"/>
  <c r="E103" i="45"/>
  <c r="D103" i="45" s="1"/>
  <c r="M102" i="45"/>
  <c r="H102" i="45"/>
  <c r="P100" i="45"/>
  <c r="O100" i="45"/>
  <c r="N100" i="45"/>
  <c r="L100" i="45"/>
  <c r="L101" i="45" s="1"/>
  <c r="K100" i="45"/>
  <c r="J100" i="45"/>
  <c r="I100" i="45"/>
  <c r="H100" i="45"/>
  <c r="G100" i="45"/>
  <c r="P99" i="45"/>
  <c r="O99" i="45"/>
  <c r="N99" i="45"/>
  <c r="N101" i="45" s="1"/>
  <c r="L99" i="45"/>
  <c r="K99" i="45"/>
  <c r="K101" i="45" s="1"/>
  <c r="J99" i="45"/>
  <c r="J101" i="45" s="1"/>
  <c r="I99" i="45"/>
  <c r="G99" i="45"/>
  <c r="G101" i="45"/>
  <c r="P98" i="45"/>
  <c r="O98" i="45"/>
  <c r="N98" i="45"/>
  <c r="L98" i="45"/>
  <c r="J98" i="45"/>
  <c r="I98" i="45"/>
  <c r="H98" i="45"/>
  <c r="G98" i="45"/>
  <c r="M97" i="45"/>
  <c r="F97" i="45"/>
  <c r="M96" i="45"/>
  <c r="K96" i="45"/>
  <c r="K90" i="45" s="1"/>
  <c r="F96" i="45"/>
  <c r="F98" i="45" s="1"/>
  <c r="P95" i="45"/>
  <c r="O95" i="45"/>
  <c r="N95" i="45"/>
  <c r="L95" i="45"/>
  <c r="K95" i="45"/>
  <c r="J95" i="45"/>
  <c r="I95" i="45"/>
  <c r="G95" i="45"/>
  <c r="M94" i="45"/>
  <c r="F94" i="45"/>
  <c r="F91" i="45" s="1"/>
  <c r="M93" i="45"/>
  <c r="H93" i="45"/>
  <c r="P91" i="45"/>
  <c r="O91" i="45"/>
  <c r="N91" i="45"/>
  <c r="L91" i="45"/>
  <c r="K91" i="45"/>
  <c r="J91" i="45"/>
  <c r="I91" i="45"/>
  <c r="H91" i="45"/>
  <c r="G91" i="45"/>
  <c r="P90" i="45"/>
  <c r="O90" i="45"/>
  <c r="N90" i="45"/>
  <c r="L90" i="45"/>
  <c r="J90" i="45"/>
  <c r="I90" i="45"/>
  <c r="G90" i="45"/>
  <c r="P89" i="45"/>
  <c r="O89" i="45"/>
  <c r="N89" i="45"/>
  <c r="L89" i="45"/>
  <c r="J89" i="45"/>
  <c r="I89" i="45"/>
  <c r="H89" i="45"/>
  <c r="G89" i="45"/>
  <c r="M88" i="45"/>
  <c r="F88" i="45"/>
  <c r="E88" i="45" s="1"/>
  <c r="D88" i="45" s="1"/>
  <c r="M87" i="45"/>
  <c r="M89" i="45" s="1"/>
  <c r="K87" i="45"/>
  <c r="K89" i="45" s="1"/>
  <c r="F87" i="45"/>
  <c r="E87" i="45" s="1"/>
  <c r="P86" i="45"/>
  <c r="O86" i="45"/>
  <c r="N86" i="45"/>
  <c r="L86" i="45"/>
  <c r="K86" i="45"/>
  <c r="J86" i="45"/>
  <c r="I86" i="45"/>
  <c r="H86" i="45"/>
  <c r="G86" i="45"/>
  <c r="M85" i="45"/>
  <c r="F85" i="45"/>
  <c r="E85" i="45" s="1"/>
  <c r="M84" i="45"/>
  <c r="F84" i="45"/>
  <c r="P83" i="45"/>
  <c r="O83" i="45"/>
  <c r="N83" i="45"/>
  <c r="L83" i="45"/>
  <c r="K83" i="45"/>
  <c r="J83" i="45"/>
  <c r="I83" i="45"/>
  <c r="H83" i="45"/>
  <c r="G83" i="45"/>
  <c r="M82" i="45"/>
  <c r="F82" i="45"/>
  <c r="E82" i="45" s="1"/>
  <c r="D82" i="45" s="1"/>
  <c r="M81" i="45"/>
  <c r="F81" i="45"/>
  <c r="P80" i="45"/>
  <c r="O80" i="45"/>
  <c r="N80" i="45"/>
  <c r="L80" i="45"/>
  <c r="J80" i="45"/>
  <c r="I80" i="45"/>
  <c r="G80" i="45"/>
  <c r="M79" i="45"/>
  <c r="F79" i="45"/>
  <c r="E79" i="45" s="1"/>
  <c r="D79" i="45" s="1"/>
  <c r="M78" i="45"/>
  <c r="M80" i="45" s="1"/>
  <c r="K78" i="45"/>
  <c r="K80" i="45" s="1"/>
  <c r="H78" i="45"/>
  <c r="H80" i="45" s="1"/>
  <c r="P77" i="45"/>
  <c r="O77" i="45"/>
  <c r="N77" i="45"/>
  <c r="L77" i="45"/>
  <c r="K77" i="45"/>
  <c r="J77" i="45"/>
  <c r="I77" i="45"/>
  <c r="H77" i="45"/>
  <c r="G77" i="45"/>
  <c r="M76" i="45"/>
  <c r="F76" i="45"/>
  <c r="E76" i="45" s="1"/>
  <c r="D76" i="45" s="1"/>
  <c r="M75" i="45"/>
  <c r="F75" i="45"/>
  <c r="E75" i="45" s="1"/>
  <c r="P74" i="45"/>
  <c r="O74" i="45"/>
  <c r="N74" i="45"/>
  <c r="L74" i="45"/>
  <c r="K74" i="45"/>
  <c r="J74" i="45"/>
  <c r="I74" i="45"/>
  <c r="H74" i="45"/>
  <c r="G74" i="45"/>
  <c r="M73" i="45"/>
  <c r="F73" i="45"/>
  <c r="M72" i="45"/>
  <c r="F72" i="45"/>
  <c r="P71" i="45"/>
  <c r="O71" i="45"/>
  <c r="N71" i="45"/>
  <c r="L71" i="45"/>
  <c r="J71" i="45"/>
  <c r="I71" i="45"/>
  <c r="H71" i="45"/>
  <c r="G71" i="45"/>
  <c r="M70" i="45"/>
  <c r="F70" i="45"/>
  <c r="E70" i="45" s="1"/>
  <c r="M69" i="45"/>
  <c r="K69" i="45"/>
  <c r="F69" i="45"/>
  <c r="P68" i="45"/>
  <c r="O68" i="45"/>
  <c r="N68" i="45"/>
  <c r="L68" i="45"/>
  <c r="K68" i="45"/>
  <c r="J68" i="45"/>
  <c r="I68" i="45"/>
  <c r="H68" i="45"/>
  <c r="G68" i="45"/>
  <c r="M67" i="45"/>
  <c r="F67" i="45"/>
  <c r="E67" i="45" s="1"/>
  <c r="M66" i="45"/>
  <c r="F66" i="45"/>
  <c r="F68" i="45" s="1"/>
  <c r="P64" i="45"/>
  <c r="O64" i="45"/>
  <c r="N64" i="45"/>
  <c r="L64" i="45"/>
  <c r="J64" i="45"/>
  <c r="I64" i="45"/>
  <c r="H64" i="45"/>
  <c r="G64" i="45"/>
  <c r="P63" i="45"/>
  <c r="P65" i="45" s="1"/>
  <c r="O63" i="45"/>
  <c r="N63" i="45"/>
  <c r="L63" i="45"/>
  <c r="L65" i="45" s="1"/>
  <c r="J63" i="45"/>
  <c r="J65" i="45" s="1"/>
  <c r="I63" i="45"/>
  <c r="G63" i="45"/>
  <c r="G65" i="45" s="1"/>
  <c r="P62" i="45"/>
  <c r="N62" i="45"/>
  <c r="L62" i="45"/>
  <c r="J62" i="45"/>
  <c r="I62" i="45"/>
  <c r="H62" i="45"/>
  <c r="G62" i="45"/>
  <c r="M61" i="45"/>
  <c r="M62" i="45" s="1"/>
  <c r="F61" i="45"/>
  <c r="E61" i="45" s="1"/>
  <c r="E58" i="45" s="1"/>
  <c r="O60" i="45"/>
  <c r="M60" i="45"/>
  <c r="M57" i="45"/>
  <c r="K60" i="45"/>
  <c r="K57" i="45" s="1"/>
  <c r="F60" i="45"/>
  <c r="P58" i="45"/>
  <c r="O58" i="45"/>
  <c r="N58" i="45"/>
  <c r="L58" i="45"/>
  <c r="K58" i="45"/>
  <c r="J58" i="45"/>
  <c r="I58" i="45"/>
  <c r="H58" i="45"/>
  <c r="G58" i="45"/>
  <c r="F58" i="45"/>
  <c r="P57" i="45"/>
  <c r="N57" i="45"/>
  <c r="L57" i="45"/>
  <c r="J57" i="45"/>
  <c r="J59" i="45" s="1"/>
  <c r="I57" i="45"/>
  <c r="H57" i="45"/>
  <c r="H59" i="45" s="1"/>
  <c r="G57" i="45"/>
  <c r="G59" i="45" s="1"/>
  <c r="P56" i="45"/>
  <c r="O56" i="45"/>
  <c r="N56" i="45"/>
  <c r="L56" i="45"/>
  <c r="K56" i="45"/>
  <c r="J56" i="45"/>
  <c r="I56" i="45"/>
  <c r="H56" i="45"/>
  <c r="G56" i="45"/>
  <c r="M55" i="45"/>
  <c r="F55" i="45"/>
  <c r="E55" i="45" s="1"/>
  <c r="M54" i="45"/>
  <c r="M56" i="45" s="1"/>
  <c r="F54" i="45"/>
  <c r="E54" i="45" s="1"/>
  <c r="F56" i="45"/>
  <c r="P53" i="45"/>
  <c r="O53" i="45"/>
  <c r="N53" i="45"/>
  <c r="L53" i="45"/>
  <c r="K53" i="45"/>
  <c r="J53" i="45"/>
  <c r="I53" i="45"/>
  <c r="H53" i="45"/>
  <c r="G53" i="45"/>
  <c r="M52" i="45"/>
  <c r="F52" i="45"/>
  <c r="E52" i="45" s="1"/>
  <c r="D52" i="45" s="1"/>
  <c r="M51" i="45"/>
  <c r="F51" i="45"/>
  <c r="P50" i="45"/>
  <c r="O50" i="45"/>
  <c r="N50" i="45"/>
  <c r="L50" i="45"/>
  <c r="K50" i="45"/>
  <c r="J50" i="45"/>
  <c r="I50" i="45"/>
  <c r="G50" i="45"/>
  <c r="M49" i="45"/>
  <c r="F49" i="45"/>
  <c r="M48" i="45"/>
  <c r="M50" i="45"/>
  <c r="H48" i="45"/>
  <c r="P46" i="45"/>
  <c r="O46" i="45"/>
  <c r="N46" i="45"/>
  <c r="L46" i="45"/>
  <c r="K46" i="45"/>
  <c r="J46" i="45"/>
  <c r="I46" i="45"/>
  <c r="H46" i="45"/>
  <c r="G46" i="45"/>
  <c r="P45" i="45"/>
  <c r="P47" i="45" s="1"/>
  <c r="O45" i="45"/>
  <c r="N45" i="45"/>
  <c r="L45" i="45"/>
  <c r="K45" i="45"/>
  <c r="J45" i="45"/>
  <c r="I45" i="45"/>
  <c r="G45" i="45"/>
  <c r="P44" i="45"/>
  <c r="O44" i="45"/>
  <c r="N44" i="45"/>
  <c r="L44" i="45"/>
  <c r="K44" i="45"/>
  <c r="J44" i="45"/>
  <c r="I44" i="45"/>
  <c r="H44" i="45"/>
  <c r="G44" i="45"/>
  <c r="M43" i="45"/>
  <c r="F43" i="45"/>
  <c r="E43" i="45" s="1"/>
  <c r="D43" i="45" s="1"/>
  <c r="M42" i="45"/>
  <c r="M44" i="45" s="1"/>
  <c r="F42" i="45"/>
  <c r="E42" i="45" s="1"/>
  <c r="P41" i="45"/>
  <c r="O41" i="45"/>
  <c r="N41" i="45"/>
  <c r="L41" i="45"/>
  <c r="J41" i="45"/>
  <c r="I41" i="45"/>
  <c r="H41" i="45"/>
  <c r="G41" i="45"/>
  <c r="M40" i="45"/>
  <c r="F40" i="45"/>
  <c r="E40" i="45" s="1"/>
  <c r="M39" i="45"/>
  <c r="K39" i="45"/>
  <c r="K41" i="45" s="1"/>
  <c r="F39" i="45"/>
  <c r="P37" i="45"/>
  <c r="O37" i="45"/>
  <c r="N37" i="45"/>
  <c r="L37" i="45"/>
  <c r="K37" i="45"/>
  <c r="J37" i="45"/>
  <c r="I37" i="45"/>
  <c r="H37" i="45"/>
  <c r="G37" i="45"/>
  <c r="P36" i="45"/>
  <c r="P38" i="45"/>
  <c r="O36" i="45"/>
  <c r="N36" i="45"/>
  <c r="N38" i="45" s="1"/>
  <c r="L36" i="45"/>
  <c r="K36" i="45"/>
  <c r="K38" i="45" s="1"/>
  <c r="J36" i="45"/>
  <c r="J38" i="45" s="1"/>
  <c r="I36" i="45"/>
  <c r="H36" i="45"/>
  <c r="G36" i="45"/>
  <c r="P35" i="45"/>
  <c r="O35" i="45"/>
  <c r="N35" i="45"/>
  <c r="L35" i="45"/>
  <c r="K35" i="45"/>
  <c r="J35" i="45"/>
  <c r="I35" i="45"/>
  <c r="H35" i="45"/>
  <c r="G35" i="45"/>
  <c r="M34" i="45"/>
  <c r="F34" i="45"/>
  <c r="E34" i="45"/>
  <c r="D34" i="45" s="1"/>
  <c r="M33" i="45"/>
  <c r="F33" i="45"/>
  <c r="E33" i="45" s="1"/>
  <c r="D33" i="45" s="1"/>
  <c r="D35" i="45" s="1"/>
  <c r="P32" i="45"/>
  <c r="O32" i="45"/>
  <c r="N32" i="45"/>
  <c r="L32" i="45"/>
  <c r="K32" i="45"/>
  <c r="J32" i="45"/>
  <c r="I32" i="45"/>
  <c r="G32" i="45"/>
  <c r="M31" i="45"/>
  <c r="F31" i="45"/>
  <c r="E31" i="45" s="1"/>
  <c r="D31" i="45" s="1"/>
  <c r="M30" i="45"/>
  <c r="H30" i="45"/>
  <c r="F30" i="45" s="1"/>
  <c r="F32" i="45" s="1"/>
  <c r="P29" i="45"/>
  <c r="O29" i="45"/>
  <c r="N29" i="45"/>
  <c r="L29" i="45"/>
  <c r="J29" i="45"/>
  <c r="I29" i="45"/>
  <c r="H29" i="45"/>
  <c r="G29" i="45"/>
  <c r="M28" i="45"/>
  <c r="F28" i="45"/>
  <c r="E28" i="45" s="1"/>
  <c r="M27" i="45"/>
  <c r="K27" i="45"/>
  <c r="K29" i="45" s="1"/>
  <c r="F27" i="45"/>
  <c r="F29" i="45" s="1"/>
  <c r="P26" i="45"/>
  <c r="O26" i="45"/>
  <c r="N26" i="45"/>
  <c r="L26" i="45"/>
  <c r="K26" i="45"/>
  <c r="J26" i="45"/>
  <c r="I26" i="45"/>
  <c r="H26" i="45"/>
  <c r="G26" i="45"/>
  <c r="M25" i="45"/>
  <c r="F25" i="45"/>
  <c r="E25" i="45" s="1"/>
  <c r="M24" i="45"/>
  <c r="F24" i="45"/>
  <c r="P23" i="45"/>
  <c r="O23" i="45"/>
  <c r="N23" i="45"/>
  <c r="L23" i="45"/>
  <c r="K23" i="45"/>
  <c r="J23" i="45"/>
  <c r="I23" i="45"/>
  <c r="H23" i="45"/>
  <c r="G23" i="45"/>
  <c r="M22" i="45"/>
  <c r="D22" i="45" s="1"/>
  <c r="F22" i="45"/>
  <c r="E22" i="45" s="1"/>
  <c r="M21" i="45"/>
  <c r="M23" i="45" s="1"/>
  <c r="F21" i="45"/>
  <c r="E21" i="45" s="1"/>
  <c r="P19" i="45"/>
  <c r="O19" i="45"/>
  <c r="N19" i="45"/>
  <c r="L19" i="45"/>
  <c r="K19" i="45"/>
  <c r="J19" i="45"/>
  <c r="I19" i="45"/>
  <c r="H19" i="45"/>
  <c r="G19" i="45"/>
  <c r="P18" i="45"/>
  <c r="O18" i="45"/>
  <c r="N18" i="45"/>
  <c r="L18" i="45"/>
  <c r="K18" i="45"/>
  <c r="K20" i="45" s="1"/>
  <c r="J18" i="45"/>
  <c r="I18" i="45"/>
  <c r="G18" i="45"/>
  <c r="G20" i="45" s="1"/>
  <c r="I230" i="49"/>
  <c r="H281" i="49"/>
  <c r="E135" i="45"/>
  <c r="M224" i="45"/>
  <c r="E171" i="45"/>
  <c r="F173" i="45"/>
  <c r="I101" i="45"/>
  <c r="M170" i="45"/>
  <c r="E217" i="45"/>
  <c r="D217" i="45"/>
  <c r="F218" i="45"/>
  <c r="E261" i="45"/>
  <c r="E263" i="45" s="1"/>
  <c r="F362" i="45"/>
  <c r="M41" i="45"/>
  <c r="E232" i="45"/>
  <c r="D232" i="45" s="1"/>
  <c r="F233" i="45"/>
  <c r="E247" i="45"/>
  <c r="D247" i="45" s="1"/>
  <c r="F248" i="45"/>
  <c r="E337" i="45"/>
  <c r="F334" i="45"/>
  <c r="H32" i="45"/>
  <c r="M134" i="45"/>
  <c r="M146" i="45"/>
  <c r="G38" i="45"/>
  <c r="M77" i="45"/>
  <c r="F102" i="45"/>
  <c r="E102" i="45" s="1"/>
  <c r="E99" i="45" s="1"/>
  <c r="H99" i="45"/>
  <c r="H101" i="45" s="1"/>
  <c r="H104" i="45"/>
  <c r="H119" i="45"/>
  <c r="H189" i="45"/>
  <c r="H191" i="45" s="1"/>
  <c r="M206" i="45"/>
  <c r="M212" i="45"/>
  <c r="D219" i="45"/>
  <c r="M284" i="45"/>
  <c r="D352" i="45"/>
  <c r="O185" i="45"/>
  <c r="F206" i="45"/>
  <c r="E204" i="45"/>
  <c r="E292" i="45"/>
  <c r="D292" i="45"/>
  <c r="F303" i="45"/>
  <c r="H45" i="45"/>
  <c r="H47" i="45" s="1"/>
  <c r="H128" i="45"/>
  <c r="D202" i="45"/>
  <c r="H212" i="45"/>
  <c r="E228" i="45"/>
  <c r="F230" i="45"/>
  <c r="F293" i="45"/>
  <c r="M326" i="45"/>
  <c r="D366" i="45"/>
  <c r="M383" i="45"/>
  <c r="F402" i="45"/>
  <c r="F404" i="45" s="1"/>
  <c r="H404" i="45"/>
  <c r="H377" i="45"/>
  <c r="G272" i="45"/>
  <c r="K272" i="45"/>
  <c r="K413" i="45"/>
  <c r="K408" i="45"/>
  <c r="K410" i="45" s="1"/>
  <c r="H306" i="45"/>
  <c r="H308" i="45" s="1"/>
  <c r="H341" i="45"/>
  <c r="G344" i="45"/>
  <c r="E411" i="45"/>
  <c r="E408" i="45" s="1"/>
  <c r="M413" i="45"/>
  <c r="H338" i="45"/>
  <c r="M350" i="45"/>
  <c r="M353" i="45"/>
  <c r="E384" i="45"/>
  <c r="F395" i="45"/>
  <c r="D204" i="45"/>
  <c r="F104" i="45"/>
  <c r="E402" i="45"/>
  <c r="I77" i="49"/>
  <c r="H282" i="49"/>
  <c r="H284" i="49" s="1"/>
  <c r="I25" i="49"/>
  <c r="I59" i="49"/>
  <c r="I53" i="49"/>
  <c r="I55" i="49" s="1"/>
  <c r="I58" i="49"/>
  <c r="I92" i="49"/>
  <c r="H200" i="49"/>
  <c r="J94" i="49"/>
  <c r="H266" i="49"/>
  <c r="I97" i="49"/>
  <c r="I203" i="49"/>
  <c r="I262" i="49"/>
  <c r="I266" i="49"/>
  <c r="I290" i="49"/>
  <c r="I320" i="49"/>
  <c r="I317" i="49"/>
  <c r="I308" i="49"/>
  <c r="E104" i="45"/>
  <c r="E100" i="45"/>
  <c r="D100" i="45"/>
  <c r="D348" i="45"/>
  <c r="F341" i="45"/>
  <c r="F398" i="45"/>
  <c r="E396" i="45"/>
  <c r="E353" i="45"/>
  <c r="F99" i="45"/>
  <c r="F350" i="45"/>
  <c r="M299" i="45"/>
  <c r="E230" i="45"/>
  <c r="F299" i="45"/>
  <c r="F100" i="45"/>
  <c r="F182" i="45"/>
  <c r="E27" i="45"/>
  <c r="I59" i="45"/>
  <c r="E66" i="45"/>
  <c r="E72" i="45"/>
  <c r="M95" i="45"/>
  <c r="M90" i="45"/>
  <c r="F124" i="45"/>
  <c r="N123" i="45"/>
  <c r="N128" i="45"/>
  <c r="M130" i="45"/>
  <c r="I161" i="45"/>
  <c r="F198" i="45"/>
  <c r="H200" i="45"/>
  <c r="E207" i="45"/>
  <c r="H260" i="45"/>
  <c r="F363" i="45"/>
  <c r="F365" i="45" s="1"/>
  <c r="H365" i="45"/>
  <c r="E387" i="45"/>
  <c r="F389" i="45"/>
  <c r="F78" i="45"/>
  <c r="H63" i="45"/>
  <c r="H65" i="45" s="1"/>
  <c r="E97" i="45"/>
  <c r="M293" i="45"/>
  <c r="F374" i="45"/>
  <c r="K62" i="45"/>
  <c r="M35" i="45"/>
  <c r="K98" i="45"/>
  <c r="E96" i="45"/>
  <c r="D96" i="45" s="1"/>
  <c r="H110" i="45"/>
  <c r="F108" i="45"/>
  <c r="D127" i="45"/>
  <c r="D124" i="45" s="1"/>
  <c r="E132" i="45"/>
  <c r="D229" i="45"/>
  <c r="M305" i="45"/>
  <c r="F419" i="45"/>
  <c r="D405" i="45"/>
  <c r="F19" i="45"/>
  <c r="F175" i="45"/>
  <c r="M36" i="45"/>
  <c r="F35" i="45"/>
  <c r="E51" i="45"/>
  <c r="M74" i="45"/>
  <c r="D109" i="45"/>
  <c r="I125" i="45"/>
  <c r="L125" i="45"/>
  <c r="K138" i="45"/>
  <c r="K140" i="45" s="1"/>
  <c r="K146" i="45"/>
  <c r="H155" i="45"/>
  <c r="P167" i="45"/>
  <c r="M287" i="45"/>
  <c r="K306" i="45"/>
  <c r="K311" i="45"/>
  <c r="O374" i="45"/>
  <c r="O342" i="45"/>
  <c r="F386" i="45"/>
  <c r="E395" i="45"/>
  <c r="M71" i="45"/>
  <c r="D87" i="45"/>
  <c r="L92" i="45"/>
  <c r="E114" i="45"/>
  <c r="D145" i="45"/>
  <c r="M155" i="45"/>
  <c r="I167" i="45"/>
  <c r="G167" i="45"/>
  <c r="H176" i="45"/>
  <c r="M174" i="45"/>
  <c r="M190" i="45"/>
  <c r="F275" i="45"/>
  <c r="E273" i="45"/>
  <c r="M271" i="45"/>
  <c r="D277" i="45"/>
  <c r="M281" i="45"/>
  <c r="M296" i="45"/>
  <c r="M320" i="45"/>
  <c r="L335" i="45"/>
  <c r="D345" i="45"/>
  <c r="E357" i="45"/>
  <c r="F359" i="45"/>
  <c r="N47" i="45"/>
  <c r="F46" i="45"/>
  <c r="M91" i="45"/>
  <c r="O101" i="45"/>
  <c r="M113" i="45"/>
  <c r="N140" i="45"/>
  <c r="D154" i="45"/>
  <c r="D211" i="45"/>
  <c r="M230" i="45"/>
  <c r="M237" i="45"/>
  <c r="J272" i="45"/>
  <c r="N290" i="45"/>
  <c r="M335" i="45"/>
  <c r="O344" i="45"/>
  <c r="D388" i="45"/>
  <c r="P410" i="45"/>
  <c r="M182" i="45"/>
  <c r="J191" i="45"/>
  <c r="M209" i="45"/>
  <c r="D226" i="45"/>
  <c r="G239" i="45"/>
  <c r="D241" i="45"/>
  <c r="F251" i="45"/>
  <c r="D258" i="45"/>
  <c r="I272" i="45"/>
  <c r="D274" i="45"/>
  <c r="F284" i="45"/>
  <c r="L290" i="45"/>
  <c r="F323" i="45"/>
  <c r="F329" i="45"/>
  <c r="M338" i="45"/>
  <c r="I344" i="45"/>
  <c r="F353" i="45"/>
  <c r="M362" i="45"/>
  <c r="D370" i="45"/>
  <c r="K377" i="45"/>
  <c r="M401" i="45"/>
  <c r="I416" i="45"/>
  <c r="I176" i="45"/>
  <c r="I191" i="45"/>
  <c r="M203" i="45"/>
  <c r="M260" i="45"/>
  <c r="F263" i="45"/>
  <c r="M278" i="45"/>
  <c r="D282" i="45"/>
  <c r="D284" i="45" s="1"/>
  <c r="D346" i="45"/>
  <c r="N410" i="45"/>
  <c r="N416" i="45"/>
  <c r="F414" i="45"/>
  <c r="E406" i="45"/>
  <c r="D406" i="45" s="1"/>
  <c r="D400" i="45"/>
  <c r="M398" i="45"/>
  <c r="I377" i="45"/>
  <c r="F376" i="45"/>
  <c r="D391" i="45"/>
  <c r="M389" i="45"/>
  <c r="P344" i="45"/>
  <c r="D364" i="45"/>
  <c r="D357" i="45"/>
  <c r="F343" i="45"/>
  <c r="P308" i="45"/>
  <c r="E323" i="45"/>
  <c r="D321" i="45"/>
  <c r="D324" i="45"/>
  <c r="E316" i="45"/>
  <c r="D316" i="45" s="1"/>
  <c r="M306" i="45"/>
  <c r="K308" i="45"/>
  <c r="J290" i="45"/>
  <c r="K290" i="45"/>
  <c r="F289" i="45"/>
  <c r="E295" i="45"/>
  <c r="E289" i="45" s="1"/>
  <c r="G290" i="45"/>
  <c r="D291" i="45"/>
  <c r="E293" i="45"/>
  <c r="E284" i="45"/>
  <c r="D283" i="45"/>
  <c r="D276" i="45"/>
  <c r="E278" i="45"/>
  <c r="D279" i="45"/>
  <c r="M270" i="45"/>
  <c r="F278" i="45"/>
  <c r="K239" i="45"/>
  <c r="D264" i="45"/>
  <c r="D250" i="45"/>
  <c r="D260" i="45"/>
  <c r="D259" i="45"/>
  <c r="O239" i="45"/>
  <c r="P239" i="45"/>
  <c r="E249" i="45"/>
  <c r="E251" i="45" s="1"/>
  <c r="F266" i="45"/>
  <c r="F260" i="45"/>
  <c r="I239" i="45"/>
  <c r="N239" i="45"/>
  <c r="M242" i="45"/>
  <c r="D228" i="45"/>
  <c r="D230" i="45" s="1"/>
  <c r="P191" i="45"/>
  <c r="N191" i="45"/>
  <c r="D192" i="45"/>
  <c r="D205" i="45"/>
  <c r="D206" i="45"/>
  <c r="F190" i="45"/>
  <c r="F179" i="45"/>
  <c r="D169" i="45"/>
  <c r="D170" i="45" s="1"/>
  <c r="E170" i="45"/>
  <c r="E165" i="45"/>
  <c r="F165" i="45"/>
  <c r="F166" i="45"/>
  <c r="F167" i="45" s="1"/>
  <c r="I140" i="45"/>
  <c r="M159" i="45"/>
  <c r="E156" i="45"/>
  <c r="L140" i="45"/>
  <c r="F152" i="45"/>
  <c r="J140" i="45"/>
  <c r="M143" i="45"/>
  <c r="E137" i="45"/>
  <c r="F137" i="45"/>
  <c r="M128" i="45"/>
  <c r="F106" i="45"/>
  <c r="M106" i="45"/>
  <c r="E112" i="45"/>
  <c r="E89" i="45"/>
  <c r="F89" i="45"/>
  <c r="N59" i="45"/>
  <c r="I92" i="45"/>
  <c r="M63" i="45"/>
  <c r="F77" i="45"/>
  <c r="J92" i="45"/>
  <c r="N92" i="45"/>
  <c r="P92" i="45"/>
  <c r="I20" i="45"/>
  <c r="N20" i="45"/>
  <c r="L47" i="45"/>
  <c r="J15" i="45"/>
  <c r="J422" i="45" s="1"/>
  <c r="F83" i="45"/>
  <c r="G92" i="45"/>
  <c r="O92" i="45"/>
  <c r="D97" i="45"/>
  <c r="J14" i="45"/>
  <c r="J421" i="45" s="1"/>
  <c r="D89" i="45"/>
  <c r="O65" i="45"/>
  <c r="D75" i="45"/>
  <c r="I14" i="45"/>
  <c r="I65" i="45"/>
  <c r="N65" i="45"/>
  <c r="M68" i="45"/>
  <c r="D61" i="45"/>
  <c r="D58" i="45" s="1"/>
  <c r="M58" i="45"/>
  <c r="M59" i="45" s="1"/>
  <c r="I47" i="45"/>
  <c r="M45" i="45"/>
  <c r="K47" i="45"/>
  <c r="G47" i="45"/>
  <c r="E49" i="45"/>
  <c r="E46" i="45" s="1"/>
  <c r="E23" i="45"/>
  <c r="D21" i="45"/>
  <c r="E35" i="45"/>
  <c r="E44" i="45"/>
  <c r="D42" i="45"/>
  <c r="E29" i="45"/>
  <c r="D40" i="45"/>
  <c r="D37" i="45" s="1"/>
  <c r="E37" i="45"/>
  <c r="O38" i="45"/>
  <c r="F37" i="45"/>
  <c r="F41" i="45"/>
  <c r="F44" i="45"/>
  <c r="F18" i="45"/>
  <c r="E30" i="45"/>
  <c r="D30" i="45" s="1"/>
  <c r="D32" i="45" s="1"/>
  <c r="L38" i="45"/>
  <c r="F23" i="45"/>
  <c r="G14" i="45"/>
  <c r="I294" i="49"/>
  <c r="K296" i="49"/>
  <c r="G296" i="49"/>
  <c r="H329" i="49"/>
  <c r="J290" i="49"/>
  <c r="H290" i="49"/>
  <c r="J328" i="49"/>
  <c r="I193" i="49"/>
  <c r="K194" i="49"/>
  <c r="J187" i="49"/>
  <c r="I178" i="49"/>
  <c r="J133" i="49"/>
  <c r="G133" i="49"/>
  <c r="K115" i="49"/>
  <c r="I94" i="49"/>
  <c r="I79" i="49"/>
  <c r="I104" i="49"/>
  <c r="J61" i="49"/>
  <c r="G187" i="49"/>
  <c r="K61" i="49"/>
  <c r="J79" i="49"/>
  <c r="G186" i="49"/>
  <c r="K28" i="49"/>
  <c r="I22" i="49"/>
  <c r="G28" i="49"/>
  <c r="I197" i="49"/>
  <c r="K106" i="49"/>
  <c r="J115" i="49"/>
  <c r="K133" i="49"/>
  <c r="J22" i="49"/>
  <c r="I34" i="49"/>
  <c r="K67" i="49"/>
  <c r="K94" i="49"/>
  <c r="K22" i="49"/>
  <c r="I40" i="49"/>
  <c r="J106" i="49"/>
  <c r="I151" i="49"/>
  <c r="I160" i="49"/>
  <c r="I169" i="49"/>
  <c r="I314" i="49"/>
  <c r="G329" i="49"/>
  <c r="G328" i="49"/>
  <c r="K186" i="49"/>
  <c r="H194" i="49"/>
  <c r="I27" i="49"/>
  <c r="K328" i="49"/>
  <c r="K187" i="49"/>
  <c r="I139" i="49"/>
  <c r="I142" i="49"/>
  <c r="K272" i="49"/>
  <c r="J272" i="49"/>
  <c r="K55" i="49"/>
  <c r="G194" i="49"/>
  <c r="H263" i="49"/>
  <c r="J28" i="49"/>
  <c r="J194" i="49"/>
  <c r="K329" i="49"/>
  <c r="G278" i="49"/>
  <c r="J186" i="49"/>
  <c r="I26" i="49"/>
  <c r="J329" i="49"/>
  <c r="J296" i="49"/>
  <c r="D72" i="45"/>
  <c r="F80" i="45"/>
  <c r="D114" i="45"/>
  <c r="D116" i="45" s="1"/>
  <c r="M272" i="45"/>
  <c r="E389" i="45"/>
  <c r="D132" i="45"/>
  <c r="E108" i="45"/>
  <c r="E98" i="45"/>
  <c r="E68" i="45"/>
  <c r="D66" i="45"/>
  <c r="E101" i="45"/>
  <c r="F101" i="45"/>
  <c r="F200" i="45"/>
  <c r="E198" i="45"/>
  <c r="D198" i="45" s="1"/>
  <c r="D200" i="45" s="1"/>
  <c r="E78" i="45"/>
  <c r="D78" i="45" s="1"/>
  <c r="D80" i="45" s="1"/>
  <c r="E363" i="45"/>
  <c r="D396" i="45"/>
  <c r="D295" i="45"/>
  <c r="E158" i="45"/>
  <c r="D156" i="45"/>
  <c r="E80" i="45"/>
  <c r="I421" i="45"/>
  <c r="D49" i="45"/>
  <c r="F20" i="45"/>
  <c r="E32" i="45"/>
  <c r="G421" i="45"/>
  <c r="J15" i="49"/>
  <c r="J345" i="49" s="1"/>
  <c r="J330" i="49"/>
  <c r="E200" i="45"/>
  <c r="D108" i="45"/>
  <c r="E110" i="45"/>
  <c r="D363" i="45"/>
  <c r="D365" i="45" s="1"/>
  <c r="E365" i="45"/>
  <c r="D407" i="45"/>
  <c r="D158" i="45"/>
  <c r="D246" i="45" l="1"/>
  <c r="D248" i="45" s="1"/>
  <c r="E248" i="45"/>
  <c r="G188" i="49"/>
  <c r="G330" i="49"/>
  <c r="D381" i="45"/>
  <c r="E383" i="45"/>
  <c r="D25" i="45"/>
  <c r="E19" i="45"/>
  <c r="D327" i="45"/>
  <c r="D329" i="45" s="1"/>
  <c r="E329" i="45"/>
  <c r="D360" i="45"/>
  <c r="D362" i="45" s="1"/>
  <c r="E362" i="45"/>
  <c r="D44" i="45"/>
  <c r="D23" i="45"/>
  <c r="L20" i="45"/>
  <c r="M26" i="45"/>
  <c r="I38" i="45"/>
  <c r="M37" i="45"/>
  <c r="H15" i="45"/>
  <c r="H422" i="45" s="1"/>
  <c r="F71" i="45"/>
  <c r="D70" i="45"/>
  <c r="D77" i="45"/>
  <c r="N125" i="45"/>
  <c r="E173" i="45"/>
  <c r="M218" i="45"/>
  <c r="F221" i="45"/>
  <c r="F294" i="45"/>
  <c r="D298" i="45"/>
  <c r="D289" i="45" s="1"/>
  <c r="M347" i="45"/>
  <c r="D349" i="45"/>
  <c r="E354" i="45"/>
  <c r="D354" i="45" s="1"/>
  <c r="D382" i="45"/>
  <c r="D383" i="45" s="1"/>
  <c r="M375" i="45"/>
  <c r="M392" i="45"/>
  <c r="J410" i="45"/>
  <c r="K416" i="45"/>
  <c r="I43" i="49"/>
  <c r="I91" i="49"/>
  <c r="I130" i="49"/>
  <c r="I145" i="49"/>
  <c r="I148" i="49"/>
  <c r="I175" i="49"/>
  <c r="I212" i="49"/>
  <c r="I215" i="49"/>
  <c r="I233" i="49"/>
  <c r="I323" i="49"/>
  <c r="I124" i="49"/>
  <c r="G263" i="49"/>
  <c r="F54" i="44"/>
  <c r="E116" i="45"/>
  <c r="D350" i="45"/>
  <c r="H18" i="45"/>
  <c r="H20" i="45" s="1"/>
  <c r="E56" i="45"/>
  <c r="K92" i="45"/>
  <c r="M116" i="45"/>
  <c r="P125" i="45"/>
  <c r="G131" i="45"/>
  <c r="J131" i="45"/>
  <c r="P140" i="45"/>
  <c r="N161" i="45"/>
  <c r="D172" i="45"/>
  <c r="P176" i="45"/>
  <c r="F184" i="45"/>
  <c r="E206" i="45"/>
  <c r="F255" i="45"/>
  <c r="E390" i="45"/>
  <c r="E392" i="45" s="1"/>
  <c r="H408" i="45"/>
  <c r="H410" i="45" s="1"/>
  <c r="K263" i="49"/>
  <c r="D347" i="45"/>
  <c r="D278" i="45"/>
  <c r="M19" i="45"/>
  <c r="P15" i="45"/>
  <c r="P422" i="45" s="1"/>
  <c r="M46" i="45"/>
  <c r="M47" i="45" s="1"/>
  <c r="M98" i="45"/>
  <c r="P101" i="45"/>
  <c r="F129" i="45"/>
  <c r="M139" i="45"/>
  <c r="M140" i="45" s="1"/>
  <c r="M152" i="45"/>
  <c r="J161" i="45"/>
  <c r="M164" i="45"/>
  <c r="N176" i="45"/>
  <c r="N185" i="45"/>
  <c r="G185" i="45"/>
  <c r="D187" i="45"/>
  <c r="D184" i="45" s="1"/>
  <c r="F222" i="45"/>
  <c r="M236" i="45"/>
  <c r="J308" i="45"/>
  <c r="M329" i="45"/>
  <c r="D358" i="45"/>
  <c r="D359" i="45" s="1"/>
  <c r="D399" i="45"/>
  <c r="D401" i="45" s="1"/>
  <c r="E401" i="45"/>
  <c r="H413" i="45"/>
  <c r="P416" i="45"/>
  <c r="I66" i="49"/>
  <c r="I85" i="49"/>
  <c r="I88" i="49"/>
  <c r="I100" i="49"/>
  <c r="I103" i="49"/>
  <c r="I172" i="49"/>
  <c r="D120" i="45"/>
  <c r="D122" i="45" s="1"/>
  <c r="F412" i="45"/>
  <c r="E412" i="45" s="1"/>
  <c r="G155" i="44"/>
  <c r="D98" i="45"/>
  <c r="M92" i="45"/>
  <c r="J20" i="45"/>
  <c r="F26" i="45"/>
  <c r="M32" i="45"/>
  <c r="H38" i="45"/>
  <c r="J47" i="45"/>
  <c r="O47" i="45"/>
  <c r="M53" i="45"/>
  <c r="F64" i="45"/>
  <c r="M83" i="45"/>
  <c r="H125" i="45"/>
  <c r="H138" i="45"/>
  <c r="H140" i="45" s="1"/>
  <c r="M160" i="45"/>
  <c r="M161" i="45" s="1"/>
  <c r="E166" i="45"/>
  <c r="E167" i="45" s="1"/>
  <c r="G176" i="45"/>
  <c r="E195" i="45"/>
  <c r="E197" i="45" s="1"/>
  <c r="D196" i="45"/>
  <c r="M200" i="45"/>
  <c r="D221" i="45"/>
  <c r="M233" i="45"/>
  <c r="F245" i="45"/>
  <c r="O308" i="45"/>
  <c r="L344" i="45"/>
  <c r="I132" i="49"/>
  <c r="I224" i="49"/>
  <c r="I295" i="49"/>
  <c r="I329" i="49" s="1"/>
  <c r="J263" i="49"/>
  <c r="I31" i="49"/>
  <c r="E149" i="44"/>
  <c r="G342" i="44"/>
  <c r="G377" i="44"/>
  <c r="G127" i="44"/>
  <c r="G173" i="44"/>
  <c r="G101" i="44"/>
  <c r="G58" i="44"/>
  <c r="G12" i="44"/>
  <c r="G125" i="44"/>
  <c r="G208" i="44"/>
  <c r="G351" i="44"/>
  <c r="G357" i="44"/>
  <c r="G364" i="44"/>
  <c r="G170" i="44"/>
  <c r="G131" i="44"/>
  <c r="E201" i="44"/>
  <c r="E270" i="44"/>
  <c r="E313" i="44"/>
  <c r="G313" i="44" s="1"/>
  <c r="E341" i="44"/>
  <c r="G347" i="44"/>
  <c r="G354" i="44"/>
  <c r="G360" i="44"/>
  <c r="K15" i="49"/>
  <c r="K345" i="49" s="1"/>
  <c r="K330" i="49"/>
  <c r="E106" i="45"/>
  <c r="D112" i="45"/>
  <c r="D106" i="45" s="1"/>
  <c r="D249" i="45"/>
  <c r="D251" i="45" s="1"/>
  <c r="E407" i="45"/>
  <c r="J14" i="49"/>
  <c r="J188" i="49"/>
  <c r="I28" i="49"/>
  <c r="D51" i="45"/>
  <c r="E53" i="45"/>
  <c r="M29" i="45"/>
  <c r="M18" i="45"/>
  <c r="F57" i="45"/>
  <c r="F59" i="45" s="1"/>
  <c r="F62" i="45"/>
  <c r="E60" i="45"/>
  <c r="O62" i="45"/>
  <c r="O57" i="45"/>
  <c r="E81" i="45"/>
  <c r="F63" i="45"/>
  <c r="F65" i="45" s="1"/>
  <c r="M86" i="45"/>
  <c r="D85" i="45"/>
  <c r="F93" i="45"/>
  <c r="H95" i="45"/>
  <c r="H90" i="45"/>
  <c r="M99" i="45"/>
  <c r="M101" i="45" s="1"/>
  <c r="M104" i="45"/>
  <c r="D102" i="45"/>
  <c r="M110" i="45"/>
  <c r="M105" i="45"/>
  <c r="M107" i="45" s="1"/>
  <c r="E133" i="45"/>
  <c r="F134" i="45"/>
  <c r="F130" i="45"/>
  <c r="F131" i="45" s="1"/>
  <c r="M129" i="45"/>
  <c r="M131" i="45" s="1"/>
  <c r="M137" i="45"/>
  <c r="D151" i="45"/>
  <c r="D152" i="45" s="1"/>
  <c r="E152" i="45"/>
  <c r="F164" i="45"/>
  <c r="F159" i="45"/>
  <c r="F161" i="45" s="1"/>
  <c r="E162" i="45"/>
  <c r="M165" i="45"/>
  <c r="M167" i="45" s="1"/>
  <c r="M173" i="45"/>
  <c r="D171" i="45"/>
  <c r="E174" i="45"/>
  <c r="E176" i="45" s="1"/>
  <c r="D177" i="45"/>
  <c r="E179" i="45"/>
  <c r="M179" i="45"/>
  <c r="D178" i="45"/>
  <c r="D175" i="45" s="1"/>
  <c r="M175" i="45"/>
  <c r="M176" i="45" s="1"/>
  <c r="D181" i="45"/>
  <c r="E175" i="45"/>
  <c r="E186" i="45"/>
  <c r="F188" i="45"/>
  <c r="F183" i="45"/>
  <c r="F185" i="45" s="1"/>
  <c r="E309" i="45"/>
  <c r="F311" i="45"/>
  <c r="D330" i="45"/>
  <c r="D397" i="45"/>
  <c r="D398" i="45" s="1"/>
  <c r="E376" i="45"/>
  <c r="E398" i="45"/>
  <c r="I113" i="49"/>
  <c r="I121" i="49"/>
  <c r="I131" i="49"/>
  <c r="I133" i="49" s="1"/>
  <c r="I157" i="49"/>
  <c r="D110" i="45"/>
  <c r="D293" i="45"/>
  <c r="E334" i="45"/>
  <c r="D337" i="45"/>
  <c r="D334" i="45" s="1"/>
  <c r="E294" i="45"/>
  <c r="F296" i="45"/>
  <c r="D273" i="45"/>
  <c r="M38" i="45"/>
  <c r="D27" i="45"/>
  <c r="I15" i="45"/>
  <c r="I422" i="45" s="1"/>
  <c r="L15" i="45"/>
  <c r="L422" i="45" s="1"/>
  <c r="M64" i="45"/>
  <c r="D67" i="45"/>
  <c r="E77" i="45"/>
  <c r="D153" i="45"/>
  <c r="D155" i="45" s="1"/>
  <c r="E155" i="45"/>
  <c r="D166" i="45"/>
  <c r="E182" i="45"/>
  <c r="D180" i="45"/>
  <c r="D182" i="45" s="1"/>
  <c r="M197" i="45"/>
  <c r="M189" i="45"/>
  <c r="M191" i="45" s="1"/>
  <c r="H288" i="45"/>
  <c r="H290" i="45" s="1"/>
  <c r="F300" i="45"/>
  <c r="F288" i="45" s="1"/>
  <c r="F290" i="45" s="1"/>
  <c r="K341" i="45"/>
  <c r="K333" i="45"/>
  <c r="K335" i="45" s="1"/>
  <c r="E339" i="45"/>
  <c r="J16" i="45"/>
  <c r="J423" i="45" s="1"/>
  <c r="M65" i="45"/>
  <c r="D402" i="45"/>
  <c r="D404" i="45" s="1"/>
  <c r="E404" i="45"/>
  <c r="P20" i="45"/>
  <c r="P14" i="45"/>
  <c r="O20" i="45"/>
  <c r="L14" i="45"/>
  <c r="E193" i="45"/>
  <c r="F194" i="45"/>
  <c r="F203" i="45"/>
  <c r="E201" i="45"/>
  <c r="E210" i="45"/>
  <c r="F212" i="45"/>
  <c r="H215" i="45"/>
  <c r="F213" i="45"/>
  <c r="D265" i="45"/>
  <c r="D266" i="45" s="1"/>
  <c r="E266" i="45"/>
  <c r="M307" i="45"/>
  <c r="M308" i="45" s="1"/>
  <c r="M317" i="45"/>
  <c r="F332" i="45"/>
  <c r="F307" i="45"/>
  <c r="E331" i="45"/>
  <c r="E332" i="45" s="1"/>
  <c r="E367" i="45"/>
  <c r="F368" i="45"/>
  <c r="M372" i="45"/>
  <c r="N374" i="45"/>
  <c r="N342" i="45"/>
  <c r="E378" i="45"/>
  <c r="F380" i="45"/>
  <c r="H270" i="49"/>
  <c r="H275" i="49"/>
  <c r="D68" i="45"/>
  <c r="K188" i="49"/>
  <c r="K14" i="49"/>
  <c r="E275" i="45"/>
  <c r="D356" i="45"/>
  <c r="D207" i="45"/>
  <c r="E386" i="45"/>
  <c r="D384" i="45"/>
  <c r="F305" i="45"/>
  <c r="E303" i="45"/>
  <c r="K63" i="45"/>
  <c r="K65" i="45" s="1"/>
  <c r="E69" i="45"/>
  <c r="K71" i="45"/>
  <c r="D126" i="45"/>
  <c r="E123" i="45"/>
  <c r="E125" i="45" s="1"/>
  <c r="E128" i="45"/>
  <c r="E142" i="45"/>
  <c r="F139" i="45"/>
  <c r="E194" i="45"/>
  <c r="D240" i="45"/>
  <c r="E242" i="45"/>
  <c r="E253" i="45"/>
  <c r="D253" i="45" s="1"/>
  <c r="F238" i="45"/>
  <c r="E280" i="45"/>
  <c r="F281" i="45"/>
  <c r="F271" i="45"/>
  <c r="F285" i="45"/>
  <c r="H270" i="45"/>
  <c r="H272" i="45" s="1"/>
  <c r="H287" i="45"/>
  <c r="E299" i="45"/>
  <c r="D297" i="45"/>
  <c r="D299" i="45" s="1"/>
  <c r="H302" i="45"/>
  <c r="D325" i="45"/>
  <c r="D326" i="45" s="1"/>
  <c r="E326" i="45"/>
  <c r="D417" i="45"/>
  <c r="E418" i="45"/>
  <c r="F415" i="45"/>
  <c r="F416" i="45" s="1"/>
  <c r="I60" i="49"/>
  <c r="I61" i="49" s="1"/>
  <c r="I64" i="49"/>
  <c r="I70" i="49"/>
  <c r="I65" i="49"/>
  <c r="I109" i="49"/>
  <c r="I105" i="49"/>
  <c r="I106" i="49" s="1"/>
  <c r="F110" i="45"/>
  <c r="H105" i="45"/>
  <c r="H107" i="45" s="1"/>
  <c r="F74" i="45"/>
  <c r="E39" i="45"/>
  <c r="F36" i="45"/>
  <c r="H50" i="45"/>
  <c r="F48" i="45"/>
  <c r="L59" i="45"/>
  <c r="E73" i="45"/>
  <c r="E94" i="45"/>
  <c r="F111" i="45"/>
  <c r="H113" i="45"/>
  <c r="F141" i="45"/>
  <c r="H143" i="45"/>
  <c r="F146" i="45"/>
  <c r="E144" i="45"/>
  <c r="F155" i="45"/>
  <c r="O189" i="45"/>
  <c r="O191" i="45" s="1"/>
  <c r="F209" i="45"/>
  <c r="E208" i="45"/>
  <c r="D208" i="45" s="1"/>
  <c r="E236" i="45"/>
  <c r="D245" i="45"/>
  <c r="D310" i="45"/>
  <c r="F312" i="45"/>
  <c r="D322" i="45"/>
  <c r="D323" i="45" s="1"/>
  <c r="M395" i="45"/>
  <c r="D393" i="45"/>
  <c r="D395" i="45" s="1"/>
  <c r="O407" i="45"/>
  <c r="O375" i="45"/>
  <c r="I192" i="49"/>
  <c r="I200" i="49"/>
  <c r="I242" i="49"/>
  <c r="I269" i="49"/>
  <c r="N269" i="45"/>
  <c r="M268" i="45"/>
  <c r="K374" i="45"/>
  <c r="K343" i="45"/>
  <c r="K344" i="45" s="1"/>
  <c r="O386" i="45"/>
  <c r="O376" i="45"/>
  <c r="O15" i="45" s="1"/>
  <c r="O422" i="45" s="1"/>
  <c r="F409" i="45"/>
  <c r="F410" i="45" s="1"/>
  <c r="F413" i="45"/>
  <c r="G273" i="44"/>
  <c r="G37" i="44"/>
  <c r="E54" i="44"/>
  <c r="G54" i="44" s="1"/>
  <c r="G55" i="44"/>
  <c r="D135" i="45"/>
  <c r="F45" i="45"/>
  <c r="F47" i="45" s="1"/>
  <c r="D54" i="45"/>
  <c r="E117" i="45"/>
  <c r="F119" i="45"/>
  <c r="F128" i="45"/>
  <c r="F123" i="45"/>
  <c r="F125" i="45" s="1"/>
  <c r="F147" i="45"/>
  <c r="H149" i="45"/>
  <c r="H371" i="45"/>
  <c r="F369" i="45"/>
  <c r="D372" i="45"/>
  <c r="F407" i="45"/>
  <c r="I118" i="49"/>
  <c r="I114" i="49"/>
  <c r="I154" i="49"/>
  <c r="I281" i="49"/>
  <c r="I276" i="49"/>
  <c r="I278" i="49" s="1"/>
  <c r="I287" i="49"/>
  <c r="I282" i="49"/>
  <c r="I284" i="49" s="1"/>
  <c r="F201" i="44"/>
  <c r="G201" i="44" s="1"/>
  <c r="G202" i="44"/>
  <c r="E245" i="44"/>
  <c r="G245" i="44" s="1"/>
  <c r="G246" i="44"/>
  <c r="G336" i="44"/>
  <c r="F335" i="44"/>
  <c r="G335" i="44" s="1"/>
  <c r="G344" i="44"/>
  <c r="F341" i="44"/>
  <c r="E129" i="45"/>
  <c r="F170" i="45"/>
  <c r="E245" i="45"/>
  <c r="D390" i="45"/>
  <c r="D392" i="45" s="1"/>
  <c r="E163" i="45"/>
  <c r="F53" i="45"/>
  <c r="F375" i="45"/>
  <c r="F377" i="45" s="1"/>
  <c r="D387" i="45"/>
  <c r="D389" i="45" s="1"/>
  <c r="E74" i="45"/>
  <c r="F242" i="45"/>
  <c r="O123" i="45"/>
  <c r="O125" i="45" s="1"/>
  <c r="E24" i="45"/>
  <c r="D28" i="45"/>
  <c r="D19" i="45" s="1"/>
  <c r="D55" i="45"/>
  <c r="D46" i="45" s="1"/>
  <c r="P59" i="45"/>
  <c r="K59" i="45"/>
  <c r="F86" i="45"/>
  <c r="E84" i="45"/>
  <c r="G125" i="45"/>
  <c r="D136" i="45"/>
  <c r="D148" i="45"/>
  <c r="F174" i="45"/>
  <c r="F176" i="45" s="1"/>
  <c r="D195" i="45"/>
  <c r="D197" i="45" s="1"/>
  <c r="E221" i="45"/>
  <c r="E233" i="45"/>
  <c r="D231" i="45"/>
  <c r="D233" i="45" s="1"/>
  <c r="F252" i="45"/>
  <c r="H237" i="45"/>
  <c r="H239" i="45" s="1"/>
  <c r="H254" i="45"/>
  <c r="M289" i="45"/>
  <c r="M290" i="45" s="1"/>
  <c r="D313" i="45"/>
  <c r="F326" i="45"/>
  <c r="J335" i="45"/>
  <c r="E356" i="45"/>
  <c r="M408" i="45"/>
  <c r="M410" i="45" s="1"/>
  <c r="D411" i="45"/>
  <c r="I270" i="49"/>
  <c r="I272" i="49" s="1"/>
  <c r="I275" i="49"/>
  <c r="G11" i="44"/>
  <c r="E216" i="45"/>
  <c r="H227" i="45"/>
  <c r="F225" i="45"/>
  <c r="H269" i="45"/>
  <c r="F267" i="45"/>
  <c r="M311" i="45"/>
  <c r="M314" i="45"/>
  <c r="M368" i="45"/>
  <c r="E373" i="45"/>
  <c r="I254" i="49"/>
  <c r="F149" i="44"/>
  <c r="G149" i="44" s="1"/>
  <c r="D261" i="45"/>
  <c r="D263" i="45" s="1"/>
  <c r="L239" i="45"/>
  <c r="E315" i="45"/>
  <c r="F318" i="45"/>
  <c r="D351" i="45"/>
  <c r="M371" i="45"/>
  <c r="I184" i="49"/>
  <c r="I179" i="49"/>
  <c r="I181" i="49" s="1"/>
  <c r="I209" i="49"/>
  <c r="E166" i="44"/>
  <c r="G166" i="44" s="1"/>
  <c r="G167" i="44"/>
  <c r="E172" i="44"/>
  <c r="G172" i="44" s="1"/>
  <c r="F392" i="44"/>
  <c r="G392" i="44" s="1"/>
  <c r="G393" i="44"/>
  <c r="F336" i="45"/>
  <c r="H333" i="45"/>
  <c r="H335" i="45" s="1"/>
  <c r="M343" i="45"/>
  <c r="I73" i="49"/>
  <c r="I261" i="49"/>
  <c r="I263" i="49" s="1"/>
  <c r="H294" i="49"/>
  <c r="H296" i="49" s="1"/>
  <c r="M385" i="45"/>
  <c r="N386" i="45"/>
  <c r="N376" i="45"/>
  <c r="N377" i="45" s="1"/>
  <c r="G413" i="45"/>
  <c r="G409" i="45"/>
  <c r="F270" i="44"/>
  <c r="G270" i="44" s="1"/>
  <c r="G271" i="44"/>
  <c r="I16" i="45" l="1"/>
  <c r="I423" i="45" s="1"/>
  <c r="E409" i="45"/>
  <c r="E410" i="45" s="1"/>
  <c r="D412" i="45"/>
  <c r="D409" i="45" s="1"/>
  <c r="E222" i="45"/>
  <c r="F224" i="45"/>
  <c r="D56" i="45"/>
  <c r="K15" i="45"/>
  <c r="K422" i="45" s="1"/>
  <c r="N15" i="45"/>
  <c r="N422" i="45" s="1"/>
  <c r="E255" i="45"/>
  <c r="F257" i="45"/>
  <c r="F15" i="45"/>
  <c r="F422" i="45" s="1"/>
  <c r="I115" i="49"/>
  <c r="E413" i="45"/>
  <c r="I296" i="49"/>
  <c r="G341" i="44"/>
  <c r="E336" i="45"/>
  <c r="F338" i="45"/>
  <c r="F333" i="45"/>
  <c r="F335" i="45" s="1"/>
  <c r="F320" i="45"/>
  <c r="E318" i="45"/>
  <c r="F10" i="44"/>
  <c r="E160" i="45"/>
  <c r="D163" i="45"/>
  <c r="D160" i="45" s="1"/>
  <c r="E369" i="45"/>
  <c r="F371" i="45"/>
  <c r="F342" i="45"/>
  <c r="F344" i="45" s="1"/>
  <c r="E312" i="45"/>
  <c r="F314" i="45"/>
  <c r="E146" i="45"/>
  <c r="D144" i="45"/>
  <c r="D146" i="45" s="1"/>
  <c r="D39" i="45"/>
  <c r="E41" i="45"/>
  <c r="E36" i="45"/>
  <c r="E38" i="45" s="1"/>
  <c r="I186" i="49"/>
  <c r="I67" i="49"/>
  <c r="D69" i="45"/>
  <c r="E71" i="45"/>
  <c r="E63" i="45"/>
  <c r="D375" i="45"/>
  <c r="D378" i="45"/>
  <c r="D380" i="45" s="1"/>
  <c r="E380" i="45"/>
  <c r="E375" i="45"/>
  <c r="E377" i="45" s="1"/>
  <c r="E212" i="45"/>
  <c r="D210" i="45"/>
  <c r="D212" i="45" s="1"/>
  <c r="E190" i="45"/>
  <c r="D193" i="45"/>
  <c r="E311" i="45"/>
  <c r="D309" i="45"/>
  <c r="E188" i="45"/>
  <c r="D186" i="45"/>
  <c r="E183" i="45"/>
  <c r="E185" i="45" s="1"/>
  <c r="D162" i="45"/>
  <c r="E164" i="45"/>
  <c r="E159" i="45"/>
  <c r="E161" i="45" s="1"/>
  <c r="D104" i="45"/>
  <c r="D99" i="45"/>
  <c r="D101" i="45" s="1"/>
  <c r="E62" i="45"/>
  <c r="E57" i="45"/>
  <c r="E59" i="45" s="1"/>
  <c r="D60" i="45"/>
  <c r="M20" i="45"/>
  <c r="G410" i="45"/>
  <c r="G15" i="45"/>
  <c r="D385" i="45"/>
  <c r="D376" i="45" s="1"/>
  <c r="M376" i="45"/>
  <c r="M377" i="45" s="1"/>
  <c r="M386" i="45"/>
  <c r="E317" i="45"/>
  <c r="D315" i="45"/>
  <c r="D317" i="45" s="1"/>
  <c r="E225" i="45"/>
  <c r="F227" i="45"/>
  <c r="E10" i="44"/>
  <c r="G10" i="44" s="1"/>
  <c r="D413" i="45"/>
  <c r="D408" i="45"/>
  <c r="D410" i="45" s="1"/>
  <c r="D24" i="45"/>
  <c r="E18" i="45"/>
  <c r="E26" i="45"/>
  <c r="M238" i="45"/>
  <c r="M239" i="45" s="1"/>
  <c r="D268" i="45"/>
  <c r="D238" i="45" s="1"/>
  <c r="E111" i="45"/>
  <c r="F113" i="45"/>
  <c r="F50" i="45"/>
  <c r="E48" i="45"/>
  <c r="E415" i="45"/>
  <c r="E416" i="45" s="1"/>
  <c r="D418" i="45"/>
  <c r="D415" i="45" s="1"/>
  <c r="K16" i="49"/>
  <c r="K344" i="49"/>
  <c r="K346" i="49" s="1"/>
  <c r="N344" i="45"/>
  <c r="N14" i="45"/>
  <c r="D367" i="45"/>
  <c r="E368" i="45"/>
  <c r="E343" i="45"/>
  <c r="E213" i="45"/>
  <c r="E189" i="45" s="1"/>
  <c r="E191" i="45" s="1"/>
  <c r="F215" i="45"/>
  <c r="F189" i="45"/>
  <c r="F191" i="45" s="1"/>
  <c r="D201" i="45"/>
  <c r="E203" i="45"/>
  <c r="P16" i="45"/>
  <c r="P423" i="45" s="1"/>
  <c r="P421" i="45"/>
  <c r="F302" i="45"/>
  <c r="E300" i="45"/>
  <c r="E296" i="45"/>
  <c r="D294" i="45"/>
  <c r="E238" i="45"/>
  <c r="D165" i="45"/>
  <c r="D167" i="45" s="1"/>
  <c r="D173" i="45"/>
  <c r="D133" i="45"/>
  <c r="D134" i="45" s="1"/>
  <c r="E134" i="45"/>
  <c r="E130" i="45"/>
  <c r="E131" i="45" s="1"/>
  <c r="E93" i="45"/>
  <c r="F90" i="45"/>
  <c r="F92" i="45" s="1"/>
  <c r="F95" i="45"/>
  <c r="D81" i="45"/>
  <c r="D83" i="45" s="1"/>
  <c r="E83" i="45"/>
  <c r="D53" i="45"/>
  <c r="E252" i="45"/>
  <c r="F254" i="45"/>
  <c r="F237" i="45"/>
  <c r="F239" i="45" s="1"/>
  <c r="D137" i="45"/>
  <c r="D129" i="45"/>
  <c r="I328" i="49"/>
  <c r="I330" i="49" s="1"/>
  <c r="I194" i="49"/>
  <c r="D94" i="45"/>
  <c r="D91" i="45" s="1"/>
  <c r="E91" i="45"/>
  <c r="E419" i="45"/>
  <c r="D280" i="45"/>
  <c r="E271" i="45"/>
  <c r="E281" i="45"/>
  <c r="D123" i="45"/>
  <c r="D125" i="45" s="1"/>
  <c r="D128" i="45"/>
  <c r="D303" i="45"/>
  <c r="D305" i="45" s="1"/>
  <c r="E305" i="45"/>
  <c r="D209" i="45"/>
  <c r="H272" i="49"/>
  <c r="H328" i="49"/>
  <c r="H330" i="49" s="1"/>
  <c r="D331" i="45"/>
  <c r="D332" i="45" s="1"/>
  <c r="E307" i="45"/>
  <c r="L16" i="45"/>
  <c r="L423" i="45" s="1"/>
  <c r="L421" i="45"/>
  <c r="K14" i="45"/>
  <c r="E341" i="45"/>
  <c r="D339" i="45"/>
  <c r="D341" i="45" s="1"/>
  <c r="D275" i="45"/>
  <c r="F306" i="45"/>
  <c r="F308" i="45" s="1"/>
  <c r="O59" i="45"/>
  <c r="O14" i="45"/>
  <c r="F105" i="45"/>
  <c r="F107" i="45" s="1"/>
  <c r="J344" i="49"/>
  <c r="J346" i="49" s="1"/>
  <c r="J16" i="49"/>
  <c r="D353" i="45"/>
  <c r="E374" i="45"/>
  <c r="D373" i="45"/>
  <c r="D374" i="45" s="1"/>
  <c r="E267" i="45"/>
  <c r="F269" i="45"/>
  <c r="D216" i="45"/>
  <c r="D218" i="45" s="1"/>
  <c r="E218" i="45"/>
  <c r="E86" i="45"/>
  <c r="D84" i="45"/>
  <c r="D86" i="45" s="1"/>
  <c r="F149" i="45"/>
  <c r="E147" i="45"/>
  <c r="D117" i="45"/>
  <c r="D119" i="45" s="1"/>
  <c r="E119" i="45"/>
  <c r="O377" i="45"/>
  <c r="E141" i="45"/>
  <c r="F143" i="45"/>
  <c r="F138" i="45"/>
  <c r="F140" i="45" s="1"/>
  <c r="D73" i="45"/>
  <c r="D74" i="45" s="1"/>
  <c r="E64" i="45"/>
  <c r="F38" i="45"/>
  <c r="D414" i="45"/>
  <c r="D416" i="45" s="1"/>
  <c r="D419" i="45"/>
  <c r="E285" i="45"/>
  <c r="F287" i="45"/>
  <c r="F270" i="45"/>
  <c r="F272" i="45" s="1"/>
  <c r="M269" i="45"/>
  <c r="D242" i="45"/>
  <c r="D142" i="45"/>
  <c r="D139" i="45" s="1"/>
  <c r="E139" i="45"/>
  <c r="E209" i="45"/>
  <c r="M342" i="45"/>
  <c r="M344" i="45" s="1"/>
  <c r="M374" i="45"/>
  <c r="D29" i="45"/>
  <c r="D179" i="45"/>
  <c r="D174" i="45"/>
  <c r="D176" i="45" s="1"/>
  <c r="H92" i="45"/>
  <c r="H14" i="45"/>
  <c r="I187" i="49"/>
  <c r="I15" i="49" s="1"/>
  <c r="I345" i="49" s="1"/>
  <c r="E224" i="45" l="1"/>
  <c r="D222" i="45"/>
  <c r="D224" i="45" s="1"/>
  <c r="D64" i="45"/>
  <c r="E257" i="45"/>
  <c r="D255" i="45"/>
  <c r="D257" i="45" s="1"/>
  <c r="H421" i="45"/>
  <c r="H16" i="45"/>
  <c r="H423" i="45" s="1"/>
  <c r="D285" i="45"/>
  <c r="E287" i="45"/>
  <c r="E270" i="45"/>
  <c r="E272" i="45" s="1"/>
  <c r="K16" i="45"/>
  <c r="K423" i="45" s="1"/>
  <c r="K421" i="45"/>
  <c r="D252" i="45"/>
  <c r="E254" i="45"/>
  <c r="E237" i="45"/>
  <c r="E239" i="45" s="1"/>
  <c r="E50" i="45"/>
  <c r="D48" i="45"/>
  <c r="E45" i="45"/>
  <c r="E47" i="45" s="1"/>
  <c r="D307" i="45"/>
  <c r="E20" i="45"/>
  <c r="D159" i="45"/>
  <c r="D161" i="45" s="1"/>
  <c r="D164" i="45"/>
  <c r="D311" i="45"/>
  <c r="D190" i="45"/>
  <c r="D194" i="45"/>
  <c r="D377" i="45"/>
  <c r="D41" i="45"/>
  <c r="D36" i="45"/>
  <c r="D38" i="45" s="1"/>
  <c r="D312" i="45"/>
  <c r="D314" i="45" s="1"/>
  <c r="E314" i="45"/>
  <c r="E320" i="45"/>
  <c r="D318" i="45"/>
  <c r="D320" i="45" s="1"/>
  <c r="E338" i="45"/>
  <c r="D336" i="45"/>
  <c r="E333" i="45"/>
  <c r="E335" i="45" s="1"/>
  <c r="E15" i="45"/>
  <c r="E422" i="45" s="1"/>
  <c r="E143" i="45"/>
  <c r="D141" i="45"/>
  <c r="E138" i="45"/>
  <c r="E140" i="45" s="1"/>
  <c r="E149" i="45"/>
  <c r="D147" i="45"/>
  <c r="D149" i="45" s="1"/>
  <c r="D267" i="45"/>
  <c r="D269" i="45" s="1"/>
  <c r="E269" i="45"/>
  <c r="O421" i="45"/>
  <c r="O16" i="45"/>
  <c r="O423" i="45" s="1"/>
  <c r="D300" i="45"/>
  <c r="D302" i="45" s="1"/>
  <c r="E302" i="45"/>
  <c r="D368" i="45"/>
  <c r="D343" i="45"/>
  <c r="D18" i="45"/>
  <c r="D26" i="45"/>
  <c r="G16" i="45"/>
  <c r="G423" i="45" s="1"/>
  <c r="G422" i="45"/>
  <c r="D57" i="45"/>
  <c r="D59" i="45" s="1"/>
  <c r="D62" i="45"/>
  <c r="E306" i="45"/>
  <c r="E308" i="45" s="1"/>
  <c r="E65" i="45"/>
  <c r="I14" i="49"/>
  <c r="I188" i="49"/>
  <c r="D281" i="45"/>
  <c r="D271" i="45"/>
  <c r="E288" i="45"/>
  <c r="E290" i="45" s="1"/>
  <c r="D213" i="45"/>
  <c r="D215" i="45" s="1"/>
  <c r="E215" i="45"/>
  <c r="N16" i="45"/>
  <c r="N423" i="45" s="1"/>
  <c r="N421" i="45"/>
  <c r="D130" i="45"/>
  <c r="D131" i="45" s="1"/>
  <c r="D183" i="45"/>
  <c r="D185" i="45" s="1"/>
  <c r="D188" i="45"/>
  <c r="F14" i="45"/>
  <c r="E90" i="45"/>
  <c r="E92" i="45" s="1"/>
  <c r="E95" i="45"/>
  <c r="D93" i="45"/>
  <c r="D296" i="45"/>
  <c r="D288" i="45"/>
  <c r="D290" i="45" s="1"/>
  <c r="D203" i="45"/>
  <c r="E113" i="45"/>
  <c r="D111" i="45"/>
  <c r="E105" i="45"/>
  <c r="E107" i="45" s="1"/>
  <c r="D225" i="45"/>
  <c r="D227" i="45" s="1"/>
  <c r="E227" i="45"/>
  <c r="M14" i="45"/>
  <c r="D386" i="45"/>
  <c r="D63" i="45"/>
  <c r="D65" i="45" s="1"/>
  <c r="D71" i="45"/>
  <c r="D369" i="45"/>
  <c r="E342" i="45"/>
  <c r="E344" i="45" s="1"/>
  <c r="E371" i="45"/>
  <c r="M15" i="45"/>
  <c r="M422" i="45" s="1"/>
  <c r="D15" i="45" l="1"/>
  <c r="D422" i="45" s="1"/>
  <c r="D189" i="45"/>
  <c r="D191" i="45" s="1"/>
  <c r="D90" i="45"/>
  <c r="D92" i="45" s="1"/>
  <c r="D95" i="45"/>
  <c r="D371" i="45"/>
  <c r="D342" i="45"/>
  <c r="D344" i="45" s="1"/>
  <c r="M16" i="45"/>
  <c r="M423" i="45" s="1"/>
  <c r="M421" i="45"/>
  <c r="D113" i="45"/>
  <c r="D105" i="45"/>
  <c r="D107" i="45" s="1"/>
  <c r="D306" i="45"/>
  <c r="D308" i="45" s="1"/>
  <c r="E14" i="45"/>
  <c r="D50" i="45"/>
  <c r="D45" i="45"/>
  <c r="D47" i="45" s="1"/>
  <c r="D254" i="45"/>
  <c r="D237" i="45"/>
  <c r="D239" i="45" s="1"/>
  <c r="D287" i="45"/>
  <c r="D270" i="45"/>
  <c r="D272" i="45" s="1"/>
  <c r="F16" i="45"/>
  <c r="F423" i="45" s="1"/>
  <c r="F421" i="45"/>
  <c r="I344" i="49"/>
  <c r="I346" i="49" s="1"/>
  <c r="I16" i="49"/>
  <c r="D20" i="45"/>
  <c r="D138" i="45"/>
  <c r="D140" i="45" s="1"/>
  <c r="D143" i="45"/>
  <c r="D338" i="45"/>
  <c r="D333" i="45"/>
  <c r="D335" i="45" s="1"/>
  <c r="D14" i="45" l="1"/>
  <c r="E421" i="45"/>
  <c r="E16" i="45"/>
  <c r="E423" i="45" s="1"/>
  <c r="D16" i="45" l="1"/>
  <c r="D423" i="45" s="1"/>
  <c r="D421" i="45"/>
</calcChain>
</file>

<file path=xl/sharedStrings.xml><?xml version="1.0" encoding="utf-8"?>
<sst xmlns="http://schemas.openxmlformats.org/spreadsheetml/2006/main" count="5697" uniqueCount="1229">
  <si>
    <t>w złotych</t>
  </si>
  <si>
    <t>Dział</t>
  </si>
  <si>
    <t>§</t>
  </si>
  <si>
    <t>Treść</t>
  </si>
  <si>
    <t xml:space="preserve">Plan na </t>
  </si>
  <si>
    <t>Zwiększenie</t>
  </si>
  <si>
    <t>Zmniejszenie</t>
  </si>
  <si>
    <t>Plan po</t>
  </si>
  <si>
    <t>Rozdział</t>
  </si>
  <si>
    <t>zmianach</t>
  </si>
  <si>
    <t>WYDATKI OGÓŁEM</t>
  </si>
  <si>
    <t>*</t>
  </si>
  <si>
    <t>OGÓŁEM</t>
  </si>
  <si>
    <t>a</t>
  </si>
  <si>
    <t>b</t>
  </si>
  <si>
    <t>c</t>
  </si>
  <si>
    <t>010</t>
  </si>
  <si>
    <t>ROLNICTWO I ŁOWIECTWO</t>
  </si>
  <si>
    <t>01042</t>
  </si>
  <si>
    <t>600</t>
  </si>
  <si>
    <t>TRANSPORT I ŁĄCZNOŚĆ</t>
  </si>
  <si>
    <t>60013</t>
  </si>
  <si>
    <t>700</t>
  </si>
  <si>
    <t>GOSPODARKA MIESZKANIOWA</t>
  </si>
  <si>
    <t>70005</t>
  </si>
  <si>
    <t>710</t>
  </si>
  <si>
    <t>DZIAŁALNOŚĆ USŁUGOWA</t>
  </si>
  <si>
    <t>71003</t>
  </si>
  <si>
    <t>750</t>
  </si>
  <si>
    <t>ADMINISTRACJA PUBLICZNA</t>
  </si>
  <si>
    <t>75018</t>
  </si>
  <si>
    <t>801</t>
  </si>
  <si>
    <t>OŚWIATA I WYCHOWANIE</t>
  </si>
  <si>
    <t>80147</t>
  </si>
  <si>
    <t>851</t>
  </si>
  <si>
    <t>OCHRONA ZDROWIA</t>
  </si>
  <si>
    <t>POMOC SPOŁECZNA</t>
  </si>
  <si>
    <t>POZOSTAŁE ZADANIA W ZAKRESIE POLITYKI SPOŁECZNEJ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</si>
  <si>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</si>
  <si>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</si>
  <si>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</si>
  <si>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a - plan przed zmianą </t>
  </si>
  <si>
    <t>b - saldo zmian</t>
  </si>
  <si>
    <t>c - plan po zmianach</t>
  </si>
  <si>
    <t>71012</t>
  </si>
  <si>
    <t>w tym:</t>
  </si>
  <si>
    <t>Wynagrodzenia z pochodnymi</t>
  </si>
  <si>
    <t>Wydatki bieżące</t>
  </si>
  <si>
    <t>60003</t>
  </si>
  <si>
    <t>Krajowe pasażerskie przewozy autobusowe</t>
  </si>
  <si>
    <t>60095</t>
  </si>
  <si>
    <t>Pozostała działalność</t>
  </si>
  <si>
    <t>71005</t>
  </si>
  <si>
    <t>Prace geologiczne (nieinwestycyjne)</t>
  </si>
  <si>
    <t>75084</t>
  </si>
  <si>
    <t>Funkcjonowanie wojewódzkich rad dialogu społecznego</t>
  </si>
  <si>
    <t>752</t>
  </si>
  <si>
    <t>OBRONA NARODOWA</t>
  </si>
  <si>
    <t>75212</t>
  </si>
  <si>
    <t>Pozostałe wydatki obronne</t>
  </si>
  <si>
    <t>Składki na ubezpieczenie zdrowotne oraz świadczenia dla osób nieobjętych obowiązkiem ubezpieczenia zdrowotnego</t>
  </si>
  <si>
    <t>Wojewódzkie urzędy pracy</t>
  </si>
  <si>
    <t>RODZINA</t>
  </si>
  <si>
    <t>Ochrona powietrza atmosferycznego i klimatu</t>
  </si>
  <si>
    <t>Zmniejszenie hałasu i wibracji</t>
  </si>
  <si>
    <t>050</t>
  </si>
  <si>
    <t>RYBOŁÓWSTWO I RYBACTWO</t>
  </si>
  <si>
    <t>630</t>
  </si>
  <si>
    <t>TURYSTYKA</t>
  </si>
  <si>
    <t>720</t>
  </si>
  <si>
    <t>INFORMATYKA</t>
  </si>
  <si>
    <t>72095</t>
  </si>
  <si>
    <t>80146</t>
  </si>
  <si>
    <t>60014</t>
  </si>
  <si>
    <t>63095</t>
  </si>
  <si>
    <t>Zadania z zakresu geodezji i kartografii</t>
  </si>
  <si>
    <t>Działalność ośrodków adopcyjnych</t>
  </si>
  <si>
    <t>Dział                   Rozdział</t>
  </si>
  <si>
    <t>Nazwa</t>
  </si>
  <si>
    <t>Ogółem</t>
  </si>
  <si>
    <t>z tego: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</si>
  <si>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</si>
  <si>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</si>
  <si>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</si>
  <si>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</si>
  <si>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</si>
  <si>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</si>
  <si>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Zakup i objęcie akcji i udziałów</t>
  </si>
  <si>
    <t>Zadania statutowe</t>
  </si>
  <si>
    <t>01009</t>
  </si>
  <si>
    <t>Spółki wodne</t>
  </si>
  <si>
    <t>01041</t>
  </si>
  <si>
    <t xml:space="preserve">Program Rozwoju Obszarów Wiejskich                                             </t>
  </si>
  <si>
    <t>Wyłączenie z produkcji gruntów rolnych</t>
  </si>
  <si>
    <t>01095</t>
  </si>
  <si>
    <t>05011</t>
  </si>
  <si>
    <t>Program Operacyjny Zrównoważony rozwój sektora rybołówstwa i nadbrzeżnych obszarów rybackich 2007-2013 oraz Program Operacyjny Rybactwo i Morze 2014-2020</t>
  </si>
  <si>
    <t>150</t>
  </si>
  <si>
    <t>PRZETWÓRSTWO PRZEMYSŁOWE</t>
  </si>
  <si>
    <t>15013</t>
  </si>
  <si>
    <t>Rozwój kadr nowoczesnej gospodarki i przedsiębiorczości</t>
  </si>
  <si>
    <t>15095</t>
  </si>
  <si>
    <t>500</t>
  </si>
  <si>
    <t>HANDEL</t>
  </si>
  <si>
    <t>50005</t>
  </si>
  <si>
    <t>Promocja eksportu</t>
  </si>
  <si>
    <t>60001</t>
  </si>
  <si>
    <t>Krajowe pasażerskie przewozy kolejowe</t>
  </si>
  <si>
    <t>60002</t>
  </si>
  <si>
    <t>Infrastruktura kolejowa</t>
  </si>
  <si>
    <t>Drogi publiczne wojewódzkie</t>
  </si>
  <si>
    <t>Drogi publiczne powiatowe</t>
  </si>
  <si>
    <t>63003</t>
  </si>
  <si>
    <t>Zadania w zakresie upowszechniania turystyki</t>
  </si>
  <si>
    <t>Gospodarka gruntami i nieruchomościami</t>
  </si>
  <si>
    <t>Biura planowania przestrzennego</t>
  </si>
  <si>
    <t>71004</t>
  </si>
  <si>
    <t>Plany zagospodarowania przestrzennego</t>
  </si>
  <si>
    <t>75017</t>
  </si>
  <si>
    <t>Samorządowe sejmiki województw</t>
  </si>
  <si>
    <t>Urzędy marszałkowskie</t>
  </si>
  <si>
    <t>75058</t>
  </si>
  <si>
    <t>Działalność informacyjna i kulturalna prowadzona za granicą</t>
  </si>
  <si>
    <t>75075</t>
  </si>
  <si>
    <t>Promocja jednostek samorządu terytorialnego</t>
  </si>
  <si>
    <t>75095</t>
  </si>
  <si>
    <t>754</t>
  </si>
  <si>
    <t>BEZPIECZEŃSTWO PUBLICZNE I OCHRONA PRZECIWPOŻAROWA</t>
  </si>
  <si>
    <t>75495</t>
  </si>
  <si>
    <t>757</t>
  </si>
  <si>
    <t>OBSŁUGA DŁUGU PUBLICZNEGO</t>
  </si>
  <si>
    <t>75702</t>
  </si>
  <si>
    <t>75704</t>
  </si>
  <si>
    <t>Rozliczenia z tytułu poręczeń i gwarancji udzielonych przez Skarb Państwa lub jednostkę samorządu terytorialnego</t>
  </si>
  <si>
    <t>758</t>
  </si>
  <si>
    <t>RÓŻNE ROZLICZENIA</t>
  </si>
  <si>
    <t>75818</t>
  </si>
  <si>
    <t>Rezerwy ogólne i celowe</t>
  </si>
  <si>
    <t>80102</t>
  </si>
  <si>
    <t>Szkoły podstawowe specjalne</t>
  </si>
  <si>
    <t>80105</t>
  </si>
  <si>
    <t>Przedszkola specjalne</t>
  </si>
  <si>
    <t>80113</t>
  </si>
  <si>
    <t>Dowożenie uczniów do szkół</t>
  </si>
  <si>
    <t>80116</t>
  </si>
  <si>
    <t>Szkoły policealne</t>
  </si>
  <si>
    <t>80121</t>
  </si>
  <si>
    <t>Licea ogólnokształcące specjalne</t>
  </si>
  <si>
    <t>80134</t>
  </si>
  <si>
    <t>Szkoły zawodowe specjalne</t>
  </si>
  <si>
    <t>80140</t>
  </si>
  <si>
    <t>Dokształcanie i doskonalenie nauczycieli</t>
  </si>
  <si>
    <t>Biblioteki pedagogiczne</t>
  </si>
  <si>
    <t>80151</t>
  </si>
  <si>
    <t>Kwalifikacyjne kursy zawodowe</t>
  </si>
  <si>
    <t>80195</t>
  </si>
  <si>
    <t>Szpitale ogólne</t>
  </si>
  <si>
    <t>Medycyna pracy</t>
  </si>
  <si>
    <t>Programy polityki zdrowotnej</t>
  </si>
  <si>
    <t>Zwalczanie narkomanii</t>
  </si>
  <si>
    <t>Przeciwdziałanie alkoholizmowi</t>
  </si>
  <si>
    <t>Ośrodki wsparcia</t>
  </si>
  <si>
    <t>Zadania w zakresie przeciwdziałania przemocy w rodzinie</t>
  </si>
  <si>
    <t>Regionalne ośrodki polityki społecznej</t>
  </si>
  <si>
    <t>Usługi opiekuńcze i specjalistyczne usługi opiekuńcze</t>
  </si>
  <si>
    <t>Rehabilitacja zawodowa i społeczna osób niepełnosprawnych</t>
  </si>
  <si>
    <t>Państwowy Fundusz Rehabilitacji Osób Niepełnosprawnych</t>
  </si>
  <si>
    <t>Fundusz Gwarantowanych Świadczeń Pracowniczych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</si>
  <si>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</si>
  <si>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</si>
  <si>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</si>
  <si>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</si>
  <si>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</si>
  <si>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motywacyjnym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</si>
  <si>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</si>
  <si>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</si>
  <si>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</si>
  <si>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</si>
  <si>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</si>
  <si>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</si>
  <si>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</si>
  <si>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</si>
  <si>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</si>
  <si>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</si>
  <si>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</si>
  <si>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>Parki krajobrazowe</t>
  </si>
  <si>
    <t xml:space="preserve">KULTURA FIZYCZNA </t>
  </si>
  <si>
    <t>Zadania w zakresie kultury fizycznej</t>
  </si>
  <si>
    <t>15011</t>
  </si>
  <si>
    <t>Rozwój  przedsiębiorczości</t>
  </si>
  <si>
    <t>Pozostałe zadania w zakresie kultury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</si>
  <si>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</si>
  <si>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</si>
  <si>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Pomoc materialna dla uczniów o charakterze socjalnym</t>
  </si>
  <si>
    <t>Pozostałe działania związane z gospodarką odpadami</t>
  </si>
  <si>
    <t>Inwestycje i zakupy inwestycyjne                   (w tym dotacje)</t>
  </si>
  <si>
    <t>05095</t>
  </si>
  <si>
    <t>Lokalny transport zbiorowy</t>
  </si>
  <si>
    <t>730</t>
  </si>
  <si>
    <t>SZKOLNICTWO WYŻSZE I NAUKA</t>
  </si>
  <si>
    <t>73014</t>
  </si>
  <si>
    <t>Działalność dydaktyczna i badawcza</t>
  </si>
  <si>
    <t>73095</t>
  </si>
  <si>
    <t>Obsługa papierów wartościowych, kredytów i pożyczek oraz innych zobowiązań jednostek samorządu terytorialnego zaliczanych do tytułu dłużnego - kredyty i pożyczki</t>
  </si>
  <si>
    <t>Placówki kształcenia ustawicznego i centra kształcenia zawodowego</t>
  </si>
  <si>
    <t>Drogi wewnętrzne</t>
  </si>
  <si>
    <t>Przedszkola</t>
  </si>
  <si>
    <t>Technika</t>
  </si>
  <si>
    <t>Zakłady opiekuńczo-lecznicze i pielęgnacyjno-opiekuńcze</t>
  </si>
  <si>
    <t>Leczenie sanatoryjno-klimatyczne</t>
  </si>
  <si>
    <t>Gospodarka ściekowa i ochrona wód</t>
  </si>
  <si>
    <t>Gospodarka odpadami komunalnymi</t>
  </si>
  <si>
    <t>Oświetlenie ulic, placów i dróg</t>
  </si>
  <si>
    <t xml:space="preserve">2021 r. </t>
  </si>
  <si>
    <t>Zarządy melioracji i urządzeń wodnych</t>
  </si>
  <si>
    <t>01006</t>
  </si>
  <si>
    <t>Zapewnienie uczniom prawa do bezpłatnego dostępu do podręczników, materiałów edukacyjncy h lub materiałów ćwiczeniowych</t>
  </si>
  <si>
    <r>
      <t xml:space="preserve">W załączniku </t>
    </r>
    <r>
      <rPr>
        <b/>
        <sz val="10"/>
        <rFont val="Times New Roman"/>
        <family val="1"/>
        <charset val="238"/>
      </rPr>
      <t>nr 3 "Wydatki budżetu Województwa Kujawsko-Pomorskiego wg grup wydatków. Plan na 2021 rok"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do uchwały Nr XXVIII/395/20 Sejmiku Województwa Kujawsko-Pomorskiego z dnia 21 grudnia 2020 roku w sprawie budżetu województwa na rok 2021 (z późn. zm.), wprowadza się następujące zmiany:</t>
    </r>
  </si>
  <si>
    <r>
      <t xml:space="preserve">W załączniku </t>
    </r>
    <r>
      <rPr>
        <b/>
        <sz val="10"/>
        <rFont val="Times New Roman"/>
        <family val="1"/>
        <charset val="238"/>
      </rPr>
      <t xml:space="preserve">nr 4 "Wydatki budżetu Województwa Kujawsko-Pomorskiego wg klasyfikacji budżetowej. Plan na 2021 rok" </t>
    </r>
    <r>
      <rPr>
        <sz val="10"/>
        <rFont val="Times New Roman"/>
        <family val="1"/>
        <charset val="238"/>
      </rPr>
      <t>do uchwały Nr XXVIII/395/20 Sejmiku Województwa Kujawsko-Pomorskiego z dnia 21 grudnia 2020 roku w sprawie budżetu województwa na rok 2021 (z późn. zm.), wprowadza się następujące zmiany:</t>
    </r>
  </si>
  <si>
    <t>Lp</t>
  </si>
  <si>
    <t>x</t>
  </si>
  <si>
    <t>85111</t>
  </si>
  <si>
    <t>Staże i specjalizacje medyczne</t>
  </si>
  <si>
    <t>Nazwa zadania inwestycyjnego</t>
  </si>
  <si>
    <t>Okres realizacji</t>
  </si>
  <si>
    <t>Ogólny koszt zadania</t>
  </si>
  <si>
    <t>Przewidywane nakłady poniesione do końca 2020 r.</t>
  </si>
  <si>
    <t>Planowane wydatki</t>
  </si>
  <si>
    <t>Jednostka organizacyjna realizująca zadanie lub koordynująca wykonanie zadania</t>
  </si>
  <si>
    <t>na rok budżetowy 2021</t>
  </si>
  <si>
    <t>z tego źródła finansowania:</t>
  </si>
  <si>
    <t>środki własne Województwa</t>
  </si>
  <si>
    <t>dotacje/środki</t>
  </si>
  <si>
    <t>I</t>
  </si>
  <si>
    <t>Inwestycje jednoroczne</t>
  </si>
  <si>
    <t>Budowa i modernizacja dróg dojazdowych do gruntów rolnych, rekultywacja i poprawa jakości gruntów rolnych oraz odtworzenie możliwości retencjonowania wody</t>
  </si>
  <si>
    <t>Urząd Marszałkowski w Toruniu</t>
  </si>
  <si>
    <t>Modernizacja dróg</t>
  </si>
  <si>
    <t>Zarząd Dróg Wojewódzkich w Bydgoszczy</t>
  </si>
  <si>
    <t>Wykup gruntu</t>
  </si>
  <si>
    <t>Drogowa Inicjatywa Samorządowa</t>
  </si>
  <si>
    <t>Modernizacja dróg wojewódzkich, grupa I - Kujawsko-pomorskiego planu spójności komunikacji drogowej i kolejowej 2014-2020</t>
  </si>
  <si>
    <t>Modernizacja dróg wojewódzkich, grupa III - Kujawsko-pomorskiego planu spójności komunikacji drogowej i kolejowej 2014-2020</t>
  </si>
  <si>
    <t>Przebudowa wiaduktu w ciągu drogi wojewódzkiej Nr 240 Chojnice-Świecie w km 64+533 w miejscowości Terespol Pomorski</t>
  </si>
  <si>
    <t>Zakupy inwestycyjne</t>
  </si>
  <si>
    <t>Zakup serwera do przechowywania baz danych</t>
  </si>
  <si>
    <t>Wydatki inwestycyjne</t>
  </si>
  <si>
    <t>Wdrożenie modułu obsługi pracowniczych planów kapitałowych dla systemu KSAT2000i</t>
  </si>
  <si>
    <t xml:space="preserve">Zakup centrali telefonicznej </t>
  </si>
  <si>
    <t>Medyczno-Społeczne Centrum Kształcenia Zawodowego i Ustawicznego w Inowrocławiu</t>
  </si>
  <si>
    <t>Zakup dwóch kondensacyjnych kotłów gazowych w systemie kaskadowym do nowobudowanej kotłowni</t>
  </si>
  <si>
    <t>Kujawsko-Pomorskie Centrum Kształcenia Zawodowego w Bydgoszczy</t>
  </si>
  <si>
    <t xml:space="preserve">Zakup multiwyszukiwarki INTEGRO </t>
  </si>
  <si>
    <t>Kujawsko-Pomorskie Centrum Edukacji Nauczycieli we Włocławku</t>
  </si>
  <si>
    <t xml:space="preserve">Zabudowa holu w budynku biblioteki </t>
  </si>
  <si>
    <t>Pedagogiczna Biblioteka Wojewódzka w Bydgoszczy</t>
  </si>
  <si>
    <t>Rozbudowa instalacji tlenowej w Wojewódzkim Szpitalu Zespolonym im. L. Rydygiera w Toruniu</t>
  </si>
  <si>
    <t>Wojewódzki Szpital Zespolony im. L. Rydygiera w Toruniu</t>
  </si>
  <si>
    <t>852</t>
  </si>
  <si>
    <t>85217</t>
  </si>
  <si>
    <t>Wykonanie wiaty rowerowej</t>
  </si>
  <si>
    <t>Regionalny Ośrodek Polityki Społecznej w Toruniu</t>
  </si>
  <si>
    <t>Zakup serwera</t>
  </si>
  <si>
    <t>854</t>
  </si>
  <si>
    <t>EDUKACYJNA OPIEKA WYCHOWAWCZA</t>
  </si>
  <si>
    <t>85403</t>
  </si>
  <si>
    <t xml:space="preserve">Kujawsko-Pomorski Specjalny Ośrodek Szkolno-Wychowawczy nr 2 dla Dzieci i Młodzieży Słabo Słyszącej i Niesłyszącej im. gen. Stanisława Maczka w Bydgoszczy - Prace związane z dostosowaniem budynku do wymogów p-poż </t>
  </si>
  <si>
    <t xml:space="preserve">Modernizacja centrali telefonicznej </t>
  </si>
  <si>
    <t xml:space="preserve">Kujawsko-Pomorski Specjalny Ośrodek Szkolno-Wychowawczy nr 2 dla Dzieci i Młodzieży Słabo Słyszącej i Niesłyszącej im. gen. Stanisława Maczka w Bydgoszczy </t>
  </si>
  <si>
    <t>Zakup pojazdu służbowego z przystosowaniem do przewozu osób niepełnosprawnych</t>
  </si>
  <si>
    <t>Kujawsko-Pomorski Specjalny Ośrodek Szkolno-Wychowawczy im. Janusza Korczaka w Toruniu</t>
  </si>
  <si>
    <t>921</t>
  </si>
  <si>
    <t>92106</t>
  </si>
  <si>
    <t>Zakup sprzętu komputerowego</t>
  </si>
  <si>
    <t>Opera Nova w Bydgoszczy</t>
  </si>
  <si>
    <t>Przebudowa stropodachu nad salą Manru w budynku Opery Nova w Bydgoszczy</t>
  </si>
  <si>
    <t>Wymiana oświetlenia oraz wystroju foyer w gmachu Opery Nova w Bydgoszczy</t>
  </si>
  <si>
    <t>92109</t>
  </si>
  <si>
    <t>Pałac Lubostroń w Lubostroniu</t>
  </si>
  <si>
    <t>Ośrodek Chopinowski w Szafarni</t>
  </si>
  <si>
    <t>92110</t>
  </si>
  <si>
    <t>Dostosowanie istniejących pomieszczeń sanitarnych dla potrzeb osób niepełnosprawnych w Galerii i Ośrodku Plastycznej Twórczości Dziecka w Toruniu</t>
  </si>
  <si>
    <t>Galeria i Ośrodek Plastycznej Twórczości Dziecka w Toruniu</t>
  </si>
  <si>
    <t>92116</t>
  </si>
  <si>
    <t>Modernizacja systemu alarmowego w budynkach Biblioteki</t>
  </si>
  <si>
    <t>Wojewódzka i Miejska Biblioteka Publiczna w Bydgoszczy</t>
  </si>
  <si>
    <t xml:space="preserve">Zakupy inwestycyjne </t>
  </si>
  <si>
    <t>Wojewódzka Biblioteka Publiczna - Książnica Kopernikańska w Toruniu</t>
  </si>
  <si>
    <t>92118</t>
  </si>
  <si>
    <t>Modernizacja budynku do celów wystawienniczo-edukacyjnych</t>
  </si>
  <si>
    <t>Muzeum Etnograficzne w Toruniu</t>
  </si>
  <si>
    <t>Wymiana pokryć dachowych, podwalin i polep w skansenie w Kłóbce</t>
  </si>
  <si>
    <t>Muzeum Ziemi Kujawskiej i Dobrzyńskiej we Włocławku</t>
  </si>
  <si>
    <t>Zabezpieczenie mechaniczne i monitoring wizyjny budynków</t>
  </si>
  <si>
    <t>92195</t>
  </si>
  <si>
    <t>Park Pamięci Ofiar Zbrodni Pomorskiej 1939</t>
  </si>
  <si>
    <t>926</t>
  </si>
  <si>
    <t>KULTURA FIZYCZNA</t>
  </si>
  <si>
    <t>92605</t>
  </si>
  <si>
    <t>Mała architektura i budowa infrastruktury sportowej przy obiektach edukacyjnych - wsparcie finansowe</t>
  </si>
  <si>
    <t>RAZEM</t>
  </si>
  <si>
    <t>II</t>
  </si>
  <si>
    <t>Inwestycje wieloletnie</t>
  </si>
  <si>
    <t>Roboty dodatkowe i uzupełniające związane z realizacją inwestycji drogowych w ramach grupy I RPO</t>
  </si>
  <si>
    <t>2018-2021</t>
  </si>
  <si>
    <t xml:space="preserve">Zarząd Dróg Wojewódzkich w Bydgoszczy </t>
  </si>
  <si>
    <t>Przygotowanie dokumentacji projektowych do realizacji zadań w ramach Programu modernizacji dróg wojewódzkich z grupy I i III Kujawsko-pomorskiego planu spójności komunikacji drogowej i kolejowej 2014-2020</t>
  </si>
  <si>
    <t>2020-2021</t>
  </si>
  <si>
    <t>Przygotowanie i realizacja zadań w ramach Funduszu Dróg Samorządowych</t>
  </si>
  <si>
    <t>2020-2024</t>
  </si>
  <si>
    <t>Budowa obwodnicy Więcborka - opracowanie studium techniczno-ekonomiczno-środowiskowego</t>
  </si>
  <si>
    <t>2019-2021</t>
  </si>
  <si>
    <t>Opracowanie dokumentacji projektowej dla rozbudowy skrzyżowania drogi wojewódzkiej Nr 241 Tuchola-Sępólno Krajeńskie-Rogoźno (ul. Kościuszki) z ul. Odrodzenia i ul. bł. ks. Jerzego Popiełuszki w m. Sępólno Krajeńskie</t>
  </si>
  <si>
    <t>Opracowanie dokumentacji projektowej dla rozbudowy drogi wojewódzkiej Nr 244 Kamieniec-Strzelce Dolne, m. Żołędowo, ul. Jastrzębia od km 30+068 do km 33+342, dł. 3,274 km</t>
  </si>
  <si>
    <t>Rozbudowa drogi wojewódzkiej Nr 244 Kamieniec-Strzelce Dolne, m. Żołędowo, ul. Jastrzębia od km 30+068 do km 33+342, dł. 3,274 km</t>
  </si>
  <si>
    <t>2021-2022</t>
  </si>
  <si>
    <t>Budowa obwodnicy miasta Rypina - opracowanie Studium Techniczno-Ekonomiczno-Środowiskowego wraz z uzyskaniem decyzji o środowiskowych uwarunkowaniach zgody na realizację przedsięwzięcia</t>
  </si>
  <si>
    <t>Opracowanie dokumentacji projektowej dla przebudowy drogi wojewódzkiej Nr 301 Janowice-Tadzin-Bądkowo-Krotoszyn-Osięciny na odc. od km 2+290 do km 18+295,5 km oraz od km 18+892,5 do km 19+226, dł. 16,339 km</t>
  </si>
  <si>
    <t>Przebudowa drogi wojewódzkiej Nr 251 od km 45+145 do km 46+800, odc. Młodocin-Pturek wraz z przebudową przepustu w km 46+216</t>
  </si>
  <si>
    <t>2019+2021</t>
  </si>
  <si>
    <t>Przebudowa drogi wojewódzkiej, tj. ul. Magazynowej w Inowrocławiu na odcinku od ul. Prezydenta Gabriela Narutowicza do ul. Dworcowej</t>
  </si>
  <si>
    <t>Budowa ciągu pieszo-rowerowego wzdłuż drogi wojewódzkiej Nr 534, tj. od skrzyżowania z drogą powiatową Nr 2205C Długie-Rakowo-Cetki do skrzyżowania z ul. Kościuszki w Rypinie - opracowanie dokumentacji technicznej</t>
  </si>
  <si>
    <t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wsparcie finansowe</t>
  </si>
  <si>
    <t>2017-2022</t>
  </si>
  <si>
    <t>60017</t>
  </si>
  <si>
    <t>Budowa parkingu</t>
  </si>
  <si>
    <t>Modernizacja nieruchomości w Toruniu przy ul. Św. Jakuba 3-5, Wola Zamkowa 8-10, 10A i 12A (rozliczenie z użytkownikiem)</t>
  </si>
  <si>
    <t>2016-2031</t>
  </si>
  <si>
    <t>Kultura w zasięgu 2.0 - wkład własny wojewódzkich jednostek organizacyjnych</t>
  </si>
  <si>
    <t>Rozbudowa kampusu UTP w Bydgoszczy w Fordonie (partycypacja do 30 % wysokości dotacji ministerialnej)</t>
  </si>
  <si>
    <t>2018-2022</t>
  </si>
  <si>
    <t>Modernizacja i rozbudowa budynku Urzędu Marszałkowskiego - Etap I</t>
  </si>
  <si>
    <t>2009-2025</t>
  </si>
  <si>
    <t>KPCEN we Włocławku - Rozbudowa budynku</t>
  </si>
  <si>
    <t>2020-2023</t>
  </si>
  <si>
    <t>2019-2029</t>
  </si>
  <si>
    <t>Kujawsko-Pomorski Teatr Muzyczny w Toruniu</t>
  </si>
  <si>
    <t>Przebudowa i remont konserwatorski budynku Pałacu Dąmbskich w Toruniu</t>
  </si>
  <si>
    <t>2015-2022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</si>
  <si>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</si>
  <si>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Adaptacja pomieszczeń piwnicznych w budynku Kujawsko-Pomorskiego Centrum Kultury w Bydgoszczy</t>
  </si>
  <si>
    <t>Kujawsko-Pomorskie Centrum Kultury w Bydgoszczy</t>
  </si>
  <si>
    <t>Modernizacja sieci wodociągowej przeciwpożarowej na terenie Muzeum Etnograficznego w Toruniu</t>
  </si>
  <si>
    <t>III</t>
  </si>
  <si>
    <t>Inwestycje ujęte w Regionalnym Programie Operacyjnym Województwa Kujawsko-Pomorskiego 2014-2020</t>
  </si>
  <si>
    <t xml:space="preserve">              </t>
  </si>
  <si>
    <t>IV</t>
  </si>
  <si>
    <t>Pozostałe projekty i działania realizowane ze środków zagranicznych</t>
  </si>
  <si>
    <r>
      <t xml:space="preserve">W załączniku </t>
    </r>
    <r>
      <rPr>
        <b/>
        <sz val="10"/>
        <rFont val="Times New Roman"/>
        <family val="1"/>
        <charset val="238"/>
      </rPr>
      <t>nr 8 "Wydatki na zadania inwestycyjne. Plan na 2021 rok"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do uchwały Nr XXVIII/395/20 Sejmiku Województwa Kujawsko-Pomorskiego z dnia 21 grudnia 2020 roku w sprawie budżetu województwa na rok 2021 (z późn. zm.), wprowadza się następujące zmiany:</t>
    </r>
  </si>
  <si>
    <t>85148</t>
  </si>
  <si>
    <t>Wykonanie awaryjnego przyłącza wodociągowego do Przychodni Medycyny Pracy przy Szosie Bydgoskiej 46</t>
  </si>
  <si>
    <t>Wojewódzki Ośrodek Medycyny Pracy w Toruniu</t>
  </si>
  <si>
    <t>85154</t>
  </si>
  <si>
    <t>Modernizacja sieci teleinformatycznej WOTUiW w Toruniu</t>
  </si>
  <si>
    <t>Wojewódzki Ośrodek Terapii Uzależnień i Współuzależnienia w Toruniu</t>
  </si>
  <si>
    <t>Ochotnicze straże pożarne</t>
  </si>
  <si>
    <t>Nabycie nieruchomości położonych w Bydgoszczy przy ul. Stanisława Staszica i Ks. Hugona Kołłątaja</t>
  </si>
  <si>
    <t>Wspieranie działań muzealnych - W trosce o dziedzictwo powierzone nam w opiekę. Doposażenie pracowni konserwatorskiej w Książnicy Kopernikańskiej</t>
  </si>
  <si>
    <t>2020-2022</t>
  </si>
  <si>
    <t>Przebudowa drogi wojewódzkiej Nr 246 Paterek-Dąbrowa Biskupia, odc. Rojewo-Płonkówko od km 59+344 do km 63+500, dł. 4,156 km</t>
  </si>
  <si>
    <t>Przebudowa drogi wojewódzkiej Nr 265 Brześć Kujawski-Kowal-Gostynin na odcinku Kowal-granica województwa od km 19+117 do km 34+025</t>
  </si>
  <si>
    <t>2021-2023</t>
  </si>
  <si>
    <t>Przebudowa drogi wojewódzkiej Nr 544 Brodnica-Lidzbark polegająca na odnowie nawierzchni od km 2+100 do km 13+310 długości 11,022 km z wyłączeniem odcinka od km 3+395 do km 3+572 długości 0,177 km wraz z przebudową przepustu w ciągu drogi wojewódzkiej nr 544 w km 10+342 w m. Łaszewo</t>
  </si>
  <si>
    <t>Przebudowa drogi wojewódzkiej Nr 551 Strzyżawa-Dąbrowa Chełmińska-Unisław-Wybcz-Chełmża-Wąbrzeźno na odcinku od km 17+515 do km 30+760</t>
  </si>
  <si>
    <t>Przygotowanie dokumentacji na potrzeby realizacji projektu pn. "Młyn Energii w Grudziądzu"</t>
  </si>
  <si>
    <t>Modernizacja monitoringu</t>
  </si>
  <si>
    <t>Biblioteka czynna całą dobę - książkomat na osiedlu Miedzyń-Prądy (Program BBO)</t>
  </si>
  <si>
    <t>92105</t>
  </si>
  <si>
    <t>Wykonanie popiersia maestro Jerzego Maksymiuka</t>
  </si>
  <si>
    <t xml:space="preserve">Filharmonia Pomorska im. J. Paderewskiego w Bydgoszczy </t>
  </si>
  <si>
    <t>Prace projektowe związane z Nową Perspektywą Finansową 2021-2027</t>
  </si>
  <si>
    <t>Nadbudowa i rozbudowa dawnego budynku kinoteatru Grunwald usytuowanego przy ul. Warszawskiej 11 w Toruniu z przeznaczeniem na teatr - Utworzenie "DUŻEJ SCENY" Kujawsko-Pomorskiego Impresaryjnego Teatru Muzycznego w Toruniu</t>
  </si>
  <si>
    <t>92108</t>
  </si>
  <si>
    <t>2017-2026</t>
  </si>
  <si>
    <t>2021-2024</t>
  </si>
  <si>
    <t>Rozbudowa Opery Nova w Bydgoszczy o IV krąg</t>
  </si>
  <si>
    <t>Rewaloryzacja i adaptacja zabytkowego spichlerza dworskiego w Kłóbce</t>
  </si>
  <si>
    <t>Budowa parkingu przy Operze Nova w Bydgoszczy</t>
  </si>
  <si>
    <t xml:space="preserve">Budowa wiaduktów i przystanków kolejowych w bydgosko-toruńskim obszarze metropolitalnym - uzyskanie certyfikatów zgodności dla podsystemów i składników interoperacyjności WE w kolejnictwie </t>
  </si>
  <si>
    <t>2017-2021</t>
  </si>
  <si>
    <t>Rozszerzenie funkcjonalności teatralno-koncertowej poprzez rozbudowę i doposażenie dawnego budynku kinoteatru Grunwald</t>
  </si>
  <si>
    <t>Rozbudowa i remont Filharmonii Pomorskiej w Bydgoszczy - przygotowanie dokumentacji</t>
  </si>
  <si>
    <t xml:space="preserve"> </t>
  </si>
  <si>
    <t>Rozwój przedsiębiorczości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</si>
  <si>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</si>
  <si>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Dotacja celowa przekazana gminie na zadania bieżące realizowane na podstawie porozumień (umów) między jednostkami samorządu terytorialnego</t>
  </si>
  <si>
    <t>Wynagrodzenia osobowe pracowników</t>
  </si>
  <si>
    <t>Składki na ubezpieczenia społeczne</t>
  </si>
  <si>
    <t>Składki na Fundusz Pracy oraz Fundusz Solidarnościowy</t>
  </si>
  <si>
    <t>Wynagrodzenia bezosobowe</t>
  </si>
  <si>
    <t>Zakup materiałów i wyposażenia</t>
  </si>
  <si>
    <t>Zakup usług pozostałych</t>
  </si>
  <si>
    <t>Podróże służbowe krajowe</t>
  </si>
  <si>
    <t>Podróże służbowe zagraniczne</t>
  </si>
  <si>
    <t>Różne opłaty i składki</t>
  </si>
  <si>
    <t>Zakup usług obejmujących wykonanie ekspertyz, analiz i opinii</t>
  </si>
  <si>
    <t>Wydatki inwestycyjne jednostek budżetowych</t>
  </si>
  <si>
    <t>Dotacja przedmiotowa z budżetu dla jednostek niezaliczanych do sektora finansów publicznych</t>
  </si>
  <si>
    <t>Wydatki na zakupy inwestycyjne jednostek budżetowych</t>
  </si>
  <si>
    <t>Dodatkowe wynagrodzenie roczne</t>
  </si>
  <si>
    <t>Zakup usług remontowych</t>
  </si>
  <si>
    <t>Opłaty z tytułu zakupu usług telekomunikacyjnych</t>
  </si>
  <si>
    <t>Opłaty na rzecz budżetu państwa</t>
  </si>
  <si>
    <t>Dotacja celowa przekazana gminie na inwestycje i zakupy inwestycyjne realizowane na podstawie porozumień (umów) między jednostkami samorządu terytorialnego</t>
  </si>
  <si>
    <t>Dotacja celowa przekazana dla powiatu na inwestycje i zakupy inwestycyjne realizowane na podstawie porozumień (umów) między jednostkami samorządu terytorialnego</t>
  </si>
  <si>
    <t>Dotacja celowa z budżetu na finansowanie lub dofinansowanie kosztów realizacji inwestycji i zakupów inwestycyjnych innych jednostek sektora finansów publicznych</t>
  </si>
  <si>
    <t>Wydatki na zakup i objęcie akcji i udziałów</t>
  </si>
  <si>
    <t xml:space="preserve">Różne wydatki na rzecz osób fizycznych </t>
  </si>
  <si>
    <t>Zakup środków żywności</t>
  </si>
  <si>
    <t xml:space="preserve">Szkolenia pracowników niebędących członkami korpusu służby cywilnej 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</si>
  <si>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</si>
  <si>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</si>
  <si>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Rezerwy na inwestycje i zakupy inwestycyjne</t>
  </si>
  <si>
    <t>Zakup energii</t>
  </si>
  <si>
    <t>Zakup usług zdrowotnych</t>
  </si>
  <si>
    <t>Odpisy na zakładowy fundusz świadczeń socjalnych</t>
  </si>
  <si>
    <t>Wpłaty na PPK finansowane przez podmiot zatrudniający</t>
  </si>
  <si>
    <t>853</t>
  </si>
  <si>
    <t>900</t>
  </si>
  <si>
    <t xml:space="preserve">Teatry </t>
  </si>
  <si>
    <t>Dotacja celowa z budżetu dla pozostałych jednostek zaliczanych do sektora finansów publicznych</t>
  </si>
  <si>
    <t>Dotacja podmiotowa z budżetu dla samorządowej instytucji kultury</t>
  </si>
  <si>
    <t>925</t>
  </si>
  <si>
    <t>Zakup usług obejmujących tłumaczenia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</si>
  <si>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</si>
  <si>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Zakup kolejowego taboru pasażerskiego</t>
  </si>
  <si>
    <t>Załącznik nr 8 do uchwały</t>
  </si>
  <si>
    <t xml:space="preserve">Instalacja systemów bezpieczeństwa </t>
  </si>
  <si>
    <t>Rozbudowa Kujawskiego Centrum Muzyki w miejscowości Wieniec koło Włocławka</t>
  </si>
  <si>
    <t xml:space="preserve"> - plan po zmianach</t>
  </si>
  <si>
    <t xml:space="preserve"> - saldo zmian </t>
  </si>
  <si>
    <t xml:space="preserve"> - plan przed zmianą </t>
  </si>
  <si>
    <t>o g ó ł e m :</t>
  </si>
  <si>
    <t>POZOSTAŁE  ZADANIA W ZAKRESIE POLITYKI SPOŁECZNEJ</t>
  </si>
  <si>
    <t>ROLNICTWO I  ŁOWIECTWO</t>
  </si>
  <si>
    <t>DOCHODY MAJĄTKOWE</t>
  </si>
  <si>
    <t>855</t>
  </si>
  <si>
    <t>DOCHODY OD OSÓB PRAWNYCH, OD OSÓB FIZYCZNYCH I OD INNYCH JEDNOSTEK NIEPOSIADAJĄCYCH OSOBOWOŚCI PRAWNEJ ORAZ WYDATKI ZWIĄZANE Z ICH POBOREM</t>
  </si>
  <si>
    <t>756</t>
  </si>
  <si>
    <t>DOCHODY BIEŻĄCE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</si>
  <si>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</si>
  <si>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</si>
  <si>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</si>
  <si>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</si>
  <si>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</si>
  <si>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</si>
  <si>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</si>
  <si>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</si>
  <si>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</si>
  <si>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</si>
  <si>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</si>
  <si>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</si>
  <si>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</si>
  <si>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</si>
  <si>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</si>
  <si>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</si>
  <si>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na finansowanie części krajowej</t>
  </si>
  <si>
    <t>na finansowanie części unijnej</t>
  </si>
  <si>
    <t>z pozostałych źródeł</t>
  </si>
  <si>
    <t>z funduszy celowych</t>
  </si>
  <si>
    <t>od jednostek  samorządu  terytorialnego</t>
  </si>
  <si>
    <t xml:space="preserve">z budżetu państwa </t>
  </si>
  <si>
    <t xml:space="preserve"> z innych źródeł zagranicznych</t>
  </si>
  <si>
    <r>
      <rPr>
        <sz val="10"/>
        <rFont val="Times New Roman"/>
        <family val="1"/>
        <charset val="238"/>
      </rPr>
      <t xml:space="preserve">z budżetu państwa </t>
    </r>
    <r>
      <rPr>
        <b/>
        <sz val="10"/>
        <rFont val="Times New Roman"/>
        <family val="1"/>
      </rPr>
      <t>- budżet środków krajowych</t>
    </r>
  </si>
  <si>
    <r>
      <rPr>
        <sz val="10"/>
        <rFont val="Times New Roman"/>
        <family val="1"/>
        <charset val="238"/>
      </rPr>
      <t xml:space="preserve">z budżetu państwa </t>
    </r>
    <r>
      <rPr>
        <b/>
        <sz val="10"/>
        <rFont val="Times New Roman"/>
        <family val="1"/>
      </rPr>
      <t>- budżet środków europejskich</t>
    </r>
  </si>
  <si>
    <t>zadań pozostałych</t>
  </si>
  <si>
    <t xml:space="preserve"> zadań z udziałem środków z budżetu Unii Europejskiej i innych źródeł zagranicznych</t>
  </si>
  <si>
    <t>Dotacje i środki na finansowanie:</t>
  </si>
  <si>
    <t>Pozostałe dochody własne uzyskiwane  przez Województwo      i jednostki budżetowe</t>
  </si>
  <si>
    <t>Udziały 
w podatkach
 i   
subwencje</t>
  </si>
  <si>
    <r>
      <t>W załączniku n</t>
    </r>
    <r>
      <rPr>
        <b/>
        <sz val="10"/>
        <rFont val="Times New Roman"/>
        <family val="1"/>
        <charset val="238"/>
      </rPr>
      <t>r 1 "Dochody budżetu Województwa Kujawsko-Pomorskiego wg źródeł pochodzenia. Plan na rok 2021"</t>
    </r>
    <r>
      <rPr>
        <sz val="10"/>
        <rFont val="Times New Roman"/>
        <family val="1"/>
        <charset val="238"/>
      </rPr>
      <t xml:space="preserve"> do uchwały Nr XXVIII/395/20 Sejmiku Województwa Kujawsko-Pomorskiego z dnia 21 grudnia 2020 r. w sprawie budżetu województwa na rok 2021                                           (z późn. zm.), wprowadza się następujące zmiany: </t>
    </r>
  </si>
  <si>
    <t xml:space="preserve">z dnia    .04.2021 r.     </t>
  </si>
  <si>
    <t>Nr  /      /21 Sejmiku Województwa</t>
  </si>
  <si>
    <t>Załącznik nr 1 do uchwały</t>
  </si>
  <si>
    <t>Środki na dofinansowanie własnych zadań bieżących gmin, powiatów (związków gmin, związków powiatowo-gminnych, związków powiatów), samorządów województw, pozyskane z innych źródeł</t>
  </si>
  <si>
    <t>Wpływy z różnych dochodów</t>
  </si>
  <si>
    <t>0970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</si>
  <si>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</si>
  <si>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</si>
  <si>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Wpływy ze zwrotów niewykorzystanych dotacji oraz płatności, dotyczące dochodów majątkowych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</si>
  <si>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</si>
  <si>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</si>
  <si>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Regionalne Programy Operacyjne 2014-2020 finansowane z udziałem środków Europejskiego Funduszu Społecznego</t>
  </si>
  <si>
    <t>Regionalne Programy Operacyjne 2014-2020 finansowane z udziałem środków Europejskiego Funduszu Rozwoju Regionalnego</t>
  </si>
  <si>
    <t>Subwencje ogólne z budżetu państwa</t>
  </si>
  <si>
    <t>Część oświatowa subwencji ogólnej dla jednostek samorządu terytorialnego</t>
  </si>
  <si>
    <t>Wpływy z podatku dochodowego od osób prawnych</t>
  </si>
  <si>
    <t>0020</t>
  </si>
  <si>
    <t>Udziały województw w podatkach stanowiących dochód budżetu państwa</t>
  </si>
  <si>
    <t>Dotacja celowa otrzymana z gminy na zadania bieżące realizowane na podstawie porozumień (umów) między jednostkami samorządu terytorialnego</t>
  </si>
  <si>
    <t>Środki na dofinansowanie własnych inwestycji gmin, powiatów (związków gmin, związków powiatowo-gminnych, związków powiatów), samorządów województw, pozyskane z innych źródeł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</si>
  <si>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</si>
  <si>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Dotacja celowa otrzymana z powiatu na inwestycje i zakupy inwestycyjne realizowane na podstawie porozumień (umów) między jednostkami samorządu terytorialnego</t>
  </si>
  <si>
    <t>Dotacja celowa otrzymana z gminy na inwestycje i zakupy inwestycyjne realizowane na podstawie porozumień (umów) między jednostkami samorządu terytorialnego</t>
  </si>
  <si>
    <t>Wpływy z tytułu kar i odszkodowań wynikających z umów</t>
  </si>
  <si>
    <t>0950</t>
  </si>
  <si>
    <t>Wpływy z pozostałych odsetek</t>
  </si>
  <si>
    <t>0920</t>
  </si>
  <si>
    <t>Wpływy z odsetek od nieterminowych wpłat z tytułu podatków i opłat</t>
  </si>
  <si>
    <t>0910</t>
  </si>
  <si>
    <t>Środki otrzymane od pozostałych jednostek zaliczanych do sektora finansów publicznych na realizacje zadań bieżących jednostek zaliczanych do sektora finansów publicznych</t>
  </si>
  <si>
    <t>DOCHODY OGÓŁEM</t>
  </si>
  <si>
    <t>7.</t>
  </si>
  <si>
    <t>6.</t>
  </si>
  <si>
    <t>5.</t>
  </si>
  <si>
    <t>4.</t>
  </si>
  <si>
    <t>3.</t>
  </si>
  <si>
    <t>2.</t>
  </si>
  <si>
    <t>1.</t>
  </si>
  <si>
    <t>Plan po zmianach</t>
  </si>
  <si>
    <t xml:space="preserve">Zwiększenie </t>
  </si>
  <si>
    <t>Plan na 2021 r.</t>
  </si>
  <si>
    <t xml:space="preserve">Dział Rozdział </t>
  </si>
  <si>
    <r>
      <t>W załączniku n</t>
    </r>
    <r>
      <rPr>
        <b/>
        <sz val="10"/>
        <color indexed="8"/>
        <rFont val="Times New Roman"/>
        <family val="1"/>
        <charset val="238"/>
      </rPr>
      <t>r 2 "Dochody budżetu Województwa Kujawsko-Pomorskiego wg klasyfikacji budżetowej. Plan na 2021 rok"</t>
    </r>
    <r>
      <rPr>
        <sz val="10"/>
        <color indexed="8"/>
        <rFont val="Times New Roman"/>
        <family val="1"/>
        <charset val="238"/>
      </rPr>
      <t xml:space="preserve"> do uchwały                         Nr XXVIII/395/20 Sejmiku Województwa Kujawsko-Pomorskiego z dnia 21 grudnia 2020 r. w sprawie budżetu województwa na rok 2021                       (z poźn. zm.), wprowadza się następujące zmiany:</t>
    </r>
  </si>
  <si>
    <t xml:space="preserve">z dnia    .04.2021 r.    </t>
  </si>
  <si>
    <t xml:space="preserve">Nr   /      /21 Sejmiku Województwa </t>
  </si>
  <si>
    <t>Załącznik nr 2 do uchwały</t>
  </si>
  <si>
    <t>plan po zmianie</t>
  </si>
  <si>
    <t xml:space="preserve"> -</t>
  </si>
  <si>
    <t>zmiana</t>
  </si>
  <si>
    <t>plan przed zmianą</t>
  </si>
  <si>
    <t xml:space="preserve">a </t>
  </si>
  <si>
    <t>IW - Inwestycje wieloletnie</t>
  </si>
  <si>
    <t>Objaśnienia:</t>
  </si>
  <si>
    <r>
      <t xml:space="preserve">Mała architektura i budowa infrastruktury sportowej przy obiektach edukacyjnych - </t>
    </r>
    <r>
      <rPr>
        <b/>
        <i/>
        <sz val="10"/>
        <color indexed="8"/>
        <rFont val="Times New Roman CE"/>
        <charset val="238"/>
      </rPr>
      <t>wsparcie finansowe</t>
    </r>
  </si>
  <si>
    <t>Szkolenie dzieci i młodzieży w klubach sportowych</t>
  </si>
  <si>
    <r>
      <t>Programy Sportu Powszechnego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</si>
  <si>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Zadania w zakresie upowszechniania kultury fizycznej i sportu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</si>
  <si>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 xml:space="preserve">Międzynarodowy Konkurs Pianistyczny im. Fryderyka Chopina dla Dzieci i Młodzieży w Szafarni 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Ośrodek Chopinowski w Szafarni</t>
    </r>
  </si>
  <si>
    <r>
      <t xml:space="preserve">Bydgoski Festiwal Muzyczny
</t>
    </r>
    <r>
      <rPr>
        <i/>
        <sz val="10"/>
        <color indexed="8"/>
        <rFont val="Times New Roman CE"/>
        <charset val="238"/>
      </rPr>
      <t>Filharmonia Pomorska w Bydgoszczy</t>
    </r>
  </si>
  <si>
    <r>
      <t xml:space="preserve">Bydgoski Festiwal Operowy
</t>
    </r>
    <r>
      <rPr>
        <i/>
        <sz val="10"/>
        <color indexed="8"/>
        <rFont val="Times New Roman CE"/>
        <charset val="238"/>
      </rPr>
      <t>Opera NOVA w Bydgoszczy</t>
    </r>
  </si>
  <si>
    <r>
      <t xml:space="preserve">Festiwale organizowane przez Teatr im. W. Horzycy w Toruniu
</t>
    </r>
    <r>
      <rPr>
        <i/>
        <sz val="10"/>
        <color indexed="8"/>
        <rFont val="Times New Roman CE"/>
        <charset val="238"/>
      </rPr>
      <t>Teatr im. W. Horzycy w Toruniu</t>
    </r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</si>
  <si>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Times New Roman CE"/>
        <charset val="238"/>
      </rPr>
      <t>wsparcie finansowe</t>
    </r>
  </si>
  <si>
    <t>Upowszechnianie kultury</t>
  </si>
  <si>
    <r>
      <t>Zadania w zakresie kultury, sztuki, ochrony dóbr kultury i dziedzictwa narodowego -</t>
    </r>
    <r>
      <rPr>
        <b/>
        <i/>
        <sz val="10"/>
        <color indexed="8"/>
        <rFont val="Times New Roman CE"/>
        <charset val="238"/>
      </rPr>
      <t xml:space="preserve"> (GRANTY)</t>
    </r>
  </si>
  <si>
    <t>Ochrona i zachowanie materialnego dziedzictwa kulturowego regionu</t>
  </si>
  <si>
    <t>92120</t>
  </si>
  <si>
    <r>
      <t>Wspieranie działań muzealnych - Ratujemy kolekcję - konserwacja dwóch zabytkowych bryczek</t>
    </r>
    <r>
      <rPr>
        <b/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Muzeum Etnograficzne w Toruniu</t>
    </r>
  </si>
  <si>
    <r>
      <t>Wspieranie działań muzealnych - Prace konserwatorskie w obiektach architektonicznych - muzealiach w Muzeum Etnograficznym w Toruniu</t>
    </r>
    <r>
      <rPr>
        <b/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Muzeum Etnograficzne w Toruniu</t>
    </r>
  </si>
  <si>
    <r>
      <t>Modernizacja budynku do celów wystawienniczo-edukacyjnych</t>
    </r>
    <r>
      <rPr>
        <b/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Muzeum Etnograficzne w Toruniu</t>
    </r>
  </si>
  <si>
    <r>
      <t xml:space="preserve">Modernizacja sieci wodociągowej przeciwpożarowej na terenie Muzeum Etnograficznego w Toruniu </t>
    </r>
    <r>
      <rPr>
        <b/>
        <sz val="10"/>
        <color indexed="8"/>
        <rFont val="Times New Roman CE"/>
        <charset val="238"/>
      </rPr>
      <t xml:space="preserve">(IW)
</t>
    </r>
    <r>
      <rPr>
        <i/>
        <sz val="10"/>
        <color indexed="8"/>
        <rFont val="Times New Roman CE"/>
        <charset val="238"/>
      </rPr>
      <t>Muzeum Etnograficzne w Toruniu</t>
    </r>
  </si>
  <si>
    <r>
      <t xml:space="preserve">Wspieranie działań muzealnych - Konserwacja narzędzi i maszyn rolniczych do wystawy stałej w Kujawsko-Dobrzyńskim Parku Etnograficznym w Kłóbce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</si>
  <si>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Rewaloryzacja i adaptacja zabytkowego spichlerza dworskiego w Kłóbce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</si>
  <si>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Zabezpieczenie mechaniczne i monitoring wizyjny budynków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</si>
  <si>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Wymiana pokryć dachowych, podwalin i polep w skansenie w Kłóbce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</si>
  <si>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t>Dofinansowanie Muzeum Ziemi Pałuckiej w Żninie - wsparcie finansowe</t>
  </si>
  <si>
    <r>
      <t xml:space="preserve">Biblioteka czynna całą dobę - książkomat na osiedlu Miedzyń - Prądy (Program BBO)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</si>
  <si>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Bydgoszcz czyta bez końca (Program BBO)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</si>
  <si>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Gry planszowe i VR w Bibliotece (Program BBO)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</si>
  <si>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Dyskusyjne Kluby Książki podregionu bydgoskiego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</si>
  <si>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Festiwal Książki Obrazkowej dla dzieci "LiterObrazki"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</si>
  <si>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Modernizacja systemu alarmowego w budynkach Biblioteki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</si>
  <si>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Dyskusyjne Kluby Książki na Kujawach i Pomorzu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</si>
  <si>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Partnerstwo dla książki - Z klasyką do współczesności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</si>
  <si>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Wspieranie działań muzealnych - W trosce o dziedzictwo powierzone nam w opiekę. Doposażenie pracowni konserwatorskiej w Książnicy Kopermikańskiej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</si>
  <si>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Wojewódzka Biblioteka Publiczna - Książnica Kopernikańska w Toruniu - zakupy inwestycyjne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</si>
  <si>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Wydanie tomów 20-22 punktowanego czasopisma naukowego "Folia Toruniensia"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  <r>
      <rPr>
        <sz val="10"/>
        <color indexed="8"/>
        <rFont val="Times New Roman CE"/>
        <family val="1"/>
        <charset val="238"/>
      </rPr>
      <t xml:space="preserve">
</t>
    </r>
  </si>
  <si>
    <r>
      <t xml:space="preserve">Edukacja kulturalna - oTWÓRZ DOM!
</t>
    </r>
    <r>
      <rPr>
        <i/>
        <sz val="10"/>
        <color indexed="8"/>
        <rFont val="Times New Roman CE"/>
        <charset val="238"/>
      </rPr>
      <t>Galeria i Ośrodek Plastycznej Twórczości Dziecka w Toruniu</t>
    </r>
  </si>
  <si>
    <r>
      <t xml:space="preserve">Międzynarodowe Biennale Grafiki Dzieci i Młodzieży
</t>
    </r>
    <r>
      <rPr>
        <i/>
        <sz val="10"/>
        <color indexed="8"/>
        <rFont val="Times New Roman CE"/>
        <charset val="238"/>
      </rPr>
      <t>Galeria i Ośrodek Plastycznej Twórczości Dziecka w Toruniu</t>
    </r>
  </si>
  <si>
    <r>
      <t xml:space="preserve">Dostosowanie istniejących pomieszczeń sanitarnych dla potrzeb osób niepełnosprawnych w Galerii i Ośrodku Plastycznej Twórczości Dziecka w Toruniu
</t>
    </r>
    <r>
      <rPr>
        <i/>
        <sz val="10"/>
        <color indexed="8"/>
        <rFont val="Times New Roman CE"/>
        <charset val="238"/>
      </rPr>
      <t>Galeria i Ośrodek Plastycznej Twórczości Dziecka w Toruniu</t>
    </r>
  </si>
  <si>
    <r>
      <t xml:space="preserve">Zakupy inwestycyjne dla Pałacu Lubostroń w Lubostroniu
</t>
    </r>
    <r>
      <rPr>
        <i/>
        <sz val="10"/>
        <color indexed="8"/>
        <rFont val="Times New Roman CE"/>
        <charset val="238"/>
      </rPr>
      <t>Pałac Lubostroń w Lubostroniu</t>
    </r>
  </si>
  <si>
    <r>
      <t xml:space="preserve">Pałac Lubostroń w Lubostroniu - zakup wyposażenia
</t>
    </r>
    <r>
      <rPr>
        <i/>
        <sz val="10"/>
        <color indexed="8"/>
        <rFont val="Times New Roman CE"/>
        <charset val="238"/>
      </rPr>
      <t>Pałac Lubostroń w Lubostroniu</t>
    </r>
  </si>
  <si>
    <r>
      <t xml:space="preserve">Ośrodek Chopinowski w Szafarni - zakupy inwestycyjne
</t>
    </r>
    <r>
      <rPr>
        <i/>
        <sz val="10"/>
        <color indexed="8"/>
        <rFont val="Times New Roman CE"/>
        <charset val="238"/>
      </rPr>
      <t>Ośrodek Chopinowski w Szafarni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</si>
  <si>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Kujawsko-Pomorskie Centrum Kultury w Bydgoszczy</t>
    </r>
  </si>
  <si>
    <r>
      <t xml:space="preserve">Kwartalnik Artystyczny, Kujawy i Pomorze
</t>
    </r>
    <r>
      <rPr>
        <i/>
        <sz val="10"/>
        <color indexed="8"/>
        <rFont val="Times New Roman CE"/>
        <charset val="238"/>
      </rPr>
      <t>Kujawsko-Pomorskie Centrum Kultury w Bydgoszczy</t>
    </r>
  </si>
  <si>
    <r>
      <t xml:space="preserve">Rozbudowa i remont Filharmonii Pomorskiej w Bydgoszczy - przygotowanie dokumentacji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Filharmonia Pomorska w Bydgoszczy</t>
    </r>
  </si>
  <si>
    <r>
      <t xml:space="preserve">Rozszerzenie funkcjonalności teatralno-koncertowej poprzez rozbudowę i doposażenie dawnego budynku kinoteatru Grunwald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</si>
  <si>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Rozbudowa Kujawskiego Centrum Muzyki w miejscowości Wieniec koło Włocławka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</si>
  <si>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</si>
  <si>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Times New Roman CE"/>
        <charset val="238"/>
      </rPr>
      <t xml:space="preserve"> 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</si>
  <si>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>Przebudowa i remont konserwatorski budynku Pałacu Dąmbskich w Toruniu</t>
    </r>
    <r>
      <rPr>
        <b/>
        <i/>
        <sz val="10"/>
        <color indexed="8"/>
        <rFont val="Times New Roman CE"/>
        <charset val="238"/>
      </rPr>
      <t xml:space="preserve"> 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</si>
  <si>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Edukacja kulturalna - Młody Teatr 
</t>
    </r>
    <r>
      <rPr>
        <i/>
        <sz val="10"/>
        <color indexed="8"/>
        <rFont val="Times New Roman CE"/>
        <charset val="238"/>
      </rPr>
      <t>Teatr im. W. Horzycy w Toruniu</t>
    </r>
  </si>
  <si>
    <r>
      <rPr>
        <sz val="10"/>
        <color indexed="8"/>
        <rFont val="Times New Roman CE"/>
        <charset val="238"/>
      </rPr>
      <t xml:space="preserve">Rozbudowa Opery Nova w Bydgoszczy o IV krąg </t>
    </r>
    <r>
      <rPr>
        <b/>
        <i/>
        <sz val="10"/>
        <color indexed="8"/>
        <rFont val="Times New Roman CE"/>
        <charset val="238"/>
      </rPr>
      <t>(IW)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</si>
  <si>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rPr>
        <sz val="10"/>
        <color indexed="8"/>
        <rFont val="Times New Roman CE"/>
        <charset val="238"/>
      </rPr>
      <t>Wymiana oświetlenia oraz wystroju foyer w gmachu Opery Nova w Bydgoszczy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</si>
  <si>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rPr>
        <sz val="10"/>
        <color indexed="8"/>
        <rFont val="Times New Roman CE"/>
        <charset val="238"/>
      </rPr>
      <t>Przebudowa stropodachu nad salą Manru w budynku Opery Nova w Bydgoszczy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</si>
  <si>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rPr>
        <sz val="10"/>
        <color indexed="8"/>
        <rFont val="Times New Roman CE"/>
        <charset val="238"/>
      </rPr>
      <t>Zakup sprzętu komputerowego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</si>
  <si>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t xml:space="preserve">Wykonanie popiersia maestro Jerzego Maksymiuka
</t>
    </r>
    <r>
      <rPr>
        <i/>
        <sz val="10"/>
        <color indexed="8"/>
        <rFont val="Times New Roman CE"/>
        <charset val="238"/>
      </rPr>
      <t>Filharmonia Pomorska w Bydgoszczy</t>
    </r>
  </si>
  <si>
    <r>
      <t xml:space="preserve">Pomoc finansowa dla Powiatu Mogileńskiego na usunięcie składowiska odpadów - </t>
    </r>
    <r>
      <rPr>
        <b/>
        <i/>
        <sz val="10"/>
        <color indexed="8"/>
        <rFont val="Times New Roman CE"/>
        <charset val="238"/>
      </rPr>
      <t>wsparcie finansowe</t>
    </r>
  </si>
  <si>
    <t>90095</t>
  </si>
  <si>
    <r>
      <t>Wspieranie prac wychowawczych z dziećmi i młodzieżą, realizowanych przez organizacje młodzieżowe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</si>
  <si>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</si>
  <si>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</si>
  <si>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</si>
  <si>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Times New Roman CE"/>
        <charset val="238"/>
      </rPr>
      <t xml:space="preserve"> (GRANTY)</t>
    </r>
  </si>
  <si>
    <t>85595</t>
  </si>
  <si>
    <r>
      <t>Wspieranie działań z zakresu opieki adopcyjno-wychowawczej -</t>
    </r>
    <r>
      <rPr>
        <b/>
        <i/>
        <sz val="10"/>
        <color indexed="8"/>
        <rFont val="Times New Roman CE"/>
        <charset val="238"/>
      </rPr>
      <t xml:space="preserve"> (GRANTY)</t>
    </r>
  </si>
  <si>
    <t>85509</t>
  </si>
  <si>
    <t>Remont nowej siedziby ZHR w Toruniu</t>
  </si>
  <si>
    <t>85495</t>
  </si>
  <si>
    <t xml:space="preserve">Stypendia dla uczniów </t>
  </si>
  <si>
    <t>85415</t>
  </si>
  <si>
    <r>
      <t>Zwiększenie dostępu osób z niepełnosprawnością do lecznictwa specjalistycznego, terapii i rehabilitacji -</t>
    </r>
    <r>
      <rPr>
        <b/>
        <i/>
        <sz val="10"/>
        <color indexed="8"/>
        <rFont val="Times New Roman CE"/>
        <charset val="238"/>
      </rPr>
      <t xml:space="preserve"> (GRANTY)</t>
    </r>
  </si>
  <si>
    <t>85395</t>
  </si>
  <si>
    <t xml:space="preserve">Dofinansowanie kosztów działalności Zakładów Aktywności Zawodowej </t>
  </si>
  <si>
    <t>85311</t>
  </si>
  <si>
    <t xml:space="preserve">Wojewódzki Program przeciwdziałania przemocy w rodzinie dla województwa kujawsko-pomorskiego do roku 2026 </t>
  </si>
  <si>
    <t>85205</t>
  </si>
  <si>
    <r>
      <t xml:space="preserve">Remont dachu w budynku górnym Oddziału Odwykowego Całodobowego przy ul. Włocławskiej 233
</t>
    </r>
    <r>
      <rPr>
        <i/>
        <sz val="10"/>
        <color indexed="8"/>
        <rFont val="Times New Roman CE"/>
        <charset val="238"/>
      </rPr>
      <t>Wojewódzki Ośrodek Terapii Uzależnień i Współuzależnienia w Toruniu</t>
    </r>
  </si>
  <si>
    <r>
      <t xml:space="preserve">Modernizacja sieci teleinformatycznej WOTUiW w Toruniu
</t>
    </r>
    <r>
      <rPr>
        <i/>
        <sz val="10"/>
        <color indexed="8"/>
        <rFont val="Times New Roman CE"/>
        <charset val="238"/>
      </rPr>
      <t>Wojewódzki Ośrodek Terapii Uzależnień i Współuzależnienia w Toruniu</t>
    </r>
  </si>
  <si>
    <r>
      <t>Rozwiązywanie problemów alkoholowych w województwie kujawsko-pomorskim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</si>
  <si>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Program - Aktywizacja środowisk wiejskich w zakresie rozwiązywania problemów alkoholowych</t>
    </r>
    <r>
      <rPr>
        <b/>
        <i/>
        <sz val="10"/>
        <color indexed="8"/>
        <rFont val="Times New Roman CE"/>
        <charset val="238"/>
      </rPr>
      <t xml:space="preserve"> (GRANTY)</t>
    </r>
  </si>
  <si>
    <t>Przeciwdziałanie alkoholizmowi i innym uzależnieniom</t>
  </si>
  <si>
    <r>
      <t>Przeciwdziałanie narkomanii w województwie kujawsko-pomorskim -</t>
    </r>
    <r>
      <rPr>
        <b/>
        <i/>
        <sz val="10"/>
        <color indexed="8"/>
        <rFont val="Times New Roman CE"/>
        <charset val="238"/>
      </rPr>
      <t xml:space="preserve"> (GRANTY)</t>
    </r>
  </si>
  <si>
    <t>85153</t>
  </si>
  <si>
    <t>Województwo Promujące Zdrowie</t>
  </si>
  <si>
    <r>
      <t>Ochrona i promocja zdrowia -</t>
    </r>
    <r>
      <rPr>
        <b/>
        <i/>
        <sz val="10"/>
        <color indexed="8"/>
        <rFont val="Times New Roman CE"/>
        <charset val="238"/>
      </rPr>
      <t xml:space="preserve"> (GRANTY)</t>
    </r>
  </si>
  <si>
    <t>85149</t>
  </si>
  <si>
    <r>
      <t xml:space="preserve">Wykonanie awaryjnego przyłącza wodociągowego do Przychodni Medycyny Pracy przy Szosie Bydgoskiej 46
</t>
    </r>
    <r>
      <rPr>
        <i/>
        <sz val="10"/>
        <color indexed="8"/>
        <rFont val="Times New Roman CE"/>
        <charset val="238"/>
      </rPr>
      <t>Wojewódzki Ośrodek Medycyny Pracy w Toruniu</t>
    </r>
  </si>
  <si>
    <r>
      <t xml:space="preserve">WOMP w Bydgoszczy - Remont pomieszczeń i korytarzy
</t>
    </r>
    <r>
      <rPr>
        <i/>
        <sz val="10"/>
        <color indexed="8"/>
        <rFont val="Times New Roman CE"/>
        <charset val="238"/>
      </rPr>
      <t>Wojewódzki Ośrodek Medycyny Pracy w Bydgoszczy</t>
    </r>
  </si>
  <si>
    <r>
      <t xml:space="preserve">WOMP w Bydgoszczy - Remont klatki schodowej
</t>
    </r>
    <r>
      <rPr>
        <i/>
        <sz val="10"/>
        <color indexed="8"/>
        <rFont val="Times New Roman CE"/>
        <charset val="238"/>
      </rPr>
      <t>Wojewódzki Ośrodek Medycyny Pracy w Bydgoszczy</t>
    </r>
  </si>
  <si>
    <r>
      <t xml:space="preserve">WOMP w Bydgoszczy - Remont holu głównego i rejestracji
</t>
    </r>
    <r>
      <rPr>
        <i/>
        <sz val="10"/>
        <color indexed="8"/>
        <rFont val="Times New Roman CE"/>
        <charset val="238"/>
      </rPr>
      <t>Wojewódzki Ośrodek Medycyny Pracy w Bydgoszczy</t>
    </r>
  </si>
  <si>
    <r>
      <t xml:space="preserve">Rozbudowa instalacji tlenowej w Wojewódzkim Szpitalu Zespolonym im. L. Rydygiera w Toruniu
</t>
    </r>
    <r>
      <rPr>
        <i/>
        <sz val="10"/>
        <color indexed="8"/>
        <rFont val="Times New Roman CE"/>
        <charset val="238"/>
      </rPr>
      <t xml:space="preserve">Wojewódzki Szpital Zespolony im. L. Rydygiera w Toruniu
</t>
    </r>
  </si>
  <si>
    <r>
      <t>Działalność na rzecz organizacji pozarządowych -</t>
    </r>
    <r>
      <rPr>
        <b/>
        <i/>
        <sz val="10"/>
        <color indexed="8"/>
        <rFont val="Times New Roman CE"/>
        <charset val="238"/>
      </rPr>
      <t xml:space="preserve"> (GRANTY)</t>
    </r>
  </si>
  <si>
    <t>Rozbudowa kampusu UTP w Bydgoszczy w Fordonie (partycypacja do 30% wysokości dotacji ministerialnej)</t>
  </si>
  <si>
    <t>Laboratorium myśli św. Jana Pawła II</t>
  </si>
  <si>
    <r>
      <t>Zadania w zakresie turystyki i krajoznawstwa -</t>
    </r>
    <r>
      <rPr>
        <b/>
        <i/>
        <sz val="10"/>
        <color indexed="8"/>
        <rFont val="Times New Roman CE"/>
        <charset val="238"/>
      </rPr>
      <t xml:space="preserve"> (GRANTY)</t>
    </r>
  </si>
  <si>
    <t>Rewitalizacja międzynarodowych dróg wodnych (E40 i E70) na terenie województwa kujawsko-pomorskiego</t>
  </si>
  <si>
    <r>
      <rPr>
        <sz val="10"/>
        <color indexed="8"/>
        <rFont val="Times New Roman CE"/>
        <charset val="238"/>
      </rPr>
      <t xml:space="preserve">Budowa parkingu przy Operze Nova w Bydgoszczy </t>
    </r>
    <r>
      <rPr>
        <b/>
        <i/>
        <sz val="10"/>
        <color indexed="8"/>
        <rFont val="Times New Roman CE"/>
        <charset val="238"/>
      </rPr>
      <t>(IW)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</si>
  <si>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Times New Roman CE"/>
        <charset val="238"/>
      </rPr>
      <t>wsparcie finansowe (IW)</t>
    </r>
  </si>
  <si>
    <r>
      <rPr>
        <sz val="10"/>
        <color indexed="8"/>
        <rFont val="Times New Roman CE"/>
        <charset val="238"/>
      </rPr>
      <t>Budowa ciągu pieszo-rowerowego wzdłuż drogi wojewódzkiej Nr 534, tj. od skrzyżowania z drogą powiatową Nr 2205C Długie-Rakowo-Cetki do skrzyżowania z ul. Kościuszki w Rypinie - opracowanie dokumentacji technicznej</t>
    </r>
    <r>
      <rPr>
        <b/>
        <i/>
        <sz val="10"/>
        <color indexed="8"/>
        <rFont val="Times New Roman CE"/>
        <charset val="238"/>
      </rPr>
      <t xml:space="preserve"> (IW)</t>
    </r>
  </si>
  <si>
    <r>
      <t xml:space="preserve">Przebudowa drogi wojewódzkiej, tj. ul. Magazynowej w Inowrocławiu na odcinku od ul. Prezydenta Gabriela Narutowicza do ul. Dworcowej </t>
    </r>
    <r>
      <rPr>
        <b/>
        <i/>
        <sz val="10"/>
        <color indexed="8"/>
        <rFont val="Times New Roman CE"/>
        <charset val="238"/>
      </rPr>
      <t>(IW)</t>
    </r>
  </si>
  <si>
    <t>Zapewnienie funkcjonowania publicznego transportu zbiorowego w zakresie przewozów autobusowych o charakterze użyteczności publicznej</t>
  </si>
  <si>
    <t>60004</t>
  </si>
  <si>
    <t>Dopłaty do ustawowych ulg przejazdowych w krajowych autobusowych przewozach pasażerskich</t>
  </si>
  <si>
    <t>Kolejowe regionalne i międzywojewódzkie przewozy pasażerskie</t>
  </si>
  <si>
    <t>GOSPOSTRATEG - Usytuowanie na poziomie samorządów lokalnych instrumentów wsparcia dla MŚP działających w oparciu o model wielopoziomowego zarządzania regionem</t>
  </si>
  <si>
    <t>Organizacja dożynek</t>
  </si>
  <si>
    <t>Realizacja ustawy o ochronie gruntów rolnych i leśnych</t>
  </si>
  <si>
    <r>
      <t xml:space="preserve">Spółki wodne - </t>
    </r>
    <r>
      <rPr>
        <b/>
        <i/>
        <sz val="10"/>
        <color indexed="8"/>
        <rFont val="Times New Roman CE"/>
        <charset val="238"/>
      </rPr>
      <t>pomoc finansowa dla gmin</t>
    </r>
  </si>
  <si>
    <t>Na pozostałe zadania</t>
  </si>
  <si>
    <t>PT PROW 2014-2020 - Schemat II - Wsparcie funkcjonowania krajowej sieci obszarów wiejskich oraz realizacja działań informacyjno-promocyjnych PROW 2014-2020 (krajowa sieć obszarów wiejskich)</t>
  </si>
  <si>
    <t xml:space="preserve"> Na zadania realizowane w ramach Programu Rozwoju Obszarów Wiejskich 2014-2020</t>
  </si>
  <si>
    <t>Wsparcie osób młodych na regionalnym rynku pracy</t>
  </si>
  <si>
    <t>1.2</t>
  </si>
  <si>
    <t>85332</t>
  </si>
  <si>
    <t>Kooperacja - efektywna i skuteczna</t>
  </si>
  <si>
    <t>2.5</t>
  </si>
  <si>
    <t>85295</t>
  </si>
  <si>
    <t xml:space="preserve"> Na zadania realizowane w ramach Programu Operacyjnego Wiedza Edukacja i Rozwój</t>
  </si>
  <si>
    <t>Kujawsko-Pomorskie - rozwój poprzez kulturę 2020</t>
  </si>
  <si>
    <t>4.4</t>
  </si>
  <si>
    <t>Kujawsko-Pomorskie - rozwój poprzez kulturę 2019</t>
  </si>
  <si>
    <t>Wsparcie opieki nad zabytkami Województwa Kujawsko-Pomorskiego w 2020 roku</t>
  </si>
  <si>
    <t>Rozwój lokalny kierowany przez społeczność</t>
  </si>
  <si>
    <t>7.1</t>
  </si>
  <si>
    <t>Rewitalizacja obszarów miejskich i ich obszarów funkcjonalnych w ramach ZIT</t>
  </si>
  <si>
    <t>6.4.1</t>
  </si>
  <si>
    <t>Rewitalizacja obszarów miejskich i ich obszarów funkcjonalnych</t>
  </si>
  <si>
    <t>6.2</t>
  </si>
  <si>
    <t>Efektywność energetyczna w sektorze publicznym i mieszkaniowym</t>
  </si>
  <si>
    <t>3.3</t>
  </si>
  <si>
    <t>Punkty selektywnego zbierania odpadów komunalnych w województwie kujawsko-pomorskim</t>
  </si>
  <si>
    <t>4.2</t>
  </si>
  <si>
    <t>90026</t>
  </si>
  <si>
    <t>Zrównoważona mobilność miejska i promowanie strategii niskoemisyjnych</t>
  </si>
  <si>
    <t>3.4</t>
  </si>
  <si>
    <t>90015</t>
  </si>
  <si>
    <t>Rozwój infrastruktury wodno-ściekowej</t>
  </si>
  <si>
    <t>4.3</t>
  </si>
  <si>
    <t>90001</t>
  </si>
  <si>
    <t>Rodzina w Centrum 3</t>
  </si>
  <si>
    <t>9.3.2</t>
  </si>
  <si>
    <t>Wsparcie osób starszych i kadry świadczącej usługi społeczne w zakresie przeciwdziałania rozprzestrzenianiu się COVID-19, łagodzenia jego skutków na terenie województwa kujawsko-pomorskiego</t>
  </si>
  <si>
    <t>Wsparcie outplacementowe</t>
  </si>
  <si>
    <t>8.5.2</t>
  </si>
  <si>
    <t>Wsparcie osób pracujących znajdujących się w niekorzystnej sytuacji na rynku pracy</t>
  </si>
  <si>
    <t>8.2.2</t>
  </si>
  <si>
    <t>Wsparcie na rzecz podniesienia poziomu aktywności zawodowej osób pozostających bez zatrudnienia</t>
  </si>
  <si>
    <t>8.2.1</t>
  </si>
  <si>
    <t>Kujawsko-Pomorska Teleopieka</t>
  </si>
  <si>
    <t>Rozwój usług społecznych</t>
  </si>
  <si>
    <t>Aktywne włączenie społeczne młodzieży objętej sądowym środkiem wychowawczym lub poprawczym</t>
  </si>
  <si>
    <t>Wykluczenie - nie ma MOWy!</t>
  </si>
  <si>
    <t>9.2.2</t>
  </si>
  <si>
    <t>Trampolina 3</t>
  </si>
  <si>
    <t>Wsparcie zatrudnienia osób pełniących funkcje opiekuńcze</t>
  </si>
  <si>
    <t>Aktywna Mama, aktywny Tata</t>
  </si>
  <si>
    <t>8.4.1</t>
  </si>
  <si>
    <t>Inwestycje w infrastrukturę społeczną</t>
  </si>
  <si>
    <t>6.1.2</t>
  </si>
  <si>
    <t>Rozwój usług opiekuńczych w ramach ZIT</t>
  </si>
  <si>
    <t>9.1.2</t>
  </si>
  <si>
    <t>85228</t>
  </si>
  <si>
    <t>Rozwój podmiotów sektora ekonomii społecznej</t>
  </si>
  <si>
    <t>9.4.1</t>
  </si>
  <si>
    <t>85203</t>
  </si>
  <si>
    <t>Ograniczenie negatywnych skutków COVID-19 poprzez działania profilaktyczne i zabezpieczające skierowane do służb medycznych</t>
  </si>
  <si>
    <t>9.3.1</t>
  </si>
  <si>
    <t>Rozwój usług zdrowotnych</t>
  </si>
  <si>
    <t>Wsparcie na rzecz wydłużenia aktywności zawodowej mieszkańców</t>
  </si>
  <si>
    <t>8.6.1</t>
  </si>
  <si>
    <t>Doposażenie szpitali w województwie kujawsko-pomorskim związane z zapobieganiem, przeciwdziałaniem i zwalczaniem COVID-19 - etap II</t>
  </si>
  <si>
    <t>Doposażenie szpitali w województwie kujawsko-pomorskim związane z zapobieganiem, przeciwdziałaniem i zwalczaniem COVID-19</t>
  </si>
  <si>
    <t>6.1.1</t>
  </si>
  <si>
    <t>85195</t>
  </si>
  <si>
    <t>Regionalne programy polityki zdrowotnej i profilaktyczne</t>
  </si>
  <si>
    <t>8.6.2</t>
  </si>
  <si>
    <t>Inwestycje w infrastrukturę zdrowotną</t>
  </si>
  <si>
    <t>85117</t>
  </si>
  <si>
    <t>Kształcenie zawodowe</t>
  </si>
  <si>
    <t>10.2.3</t>
  </si>
  <si>
    <t>Kształcenie ogólne</t>
  </si>
  <si>
    <t>Niebo nad Astrobazami - rozwijamy kompetencje kluczowe uczniów</t>
  </si>
  <si>
    <t>10.2.2</t>
  </si>
  <si>
    <t>Region Nauk Ścisłych II - edukacja przyszłości</t>
  </si>
  <si>
    <t>Kształcenie zawodowe w ramach ZIT</t>
  </si>
  <si>
    <t>10.1.3</t>
  </si>
  <si>
    <t>Kształcenie ogólne w ramach ZIT</t>
  </si>
  <si>
    <t>10.1.2</t>
  </si>
  <si>
    <t>Efektywność energetyczna w sektorze publicznym i mieszkaniowym w ramach ZIT</t>
  </si>
  <si>
    <t>3.5.1</t>
  </si>
  <si>
    <t>Inwestycje w infrastrukturę kształcenia zawodowego</t>
  </si>
  <si>
    <t>6.3.2</t>
  </si>
  <si>
    <t>80115</t>
  </si>
  <si>
    <t>Inwestycje w infrastrukturę przedszkolną</t>
  </si>
  <si>
    <t>6.3.1</t>
  </si>
  <si>
    <t>80104</t>
  </si>
  <si>
    <t>Wzmocnienie systemów ratownictwa chemiczno-ekologicznego i służb ratowniczych</t>
  </si>
  <si>
    <t>4.1.2</t>
  </si>
  <si>
    <t>75412</t>
  </si>
  <si>
    <t>Wsparcie umiędzynarodowienia kujawsko-pomorskich MŚP oraz promocja potencjału gospodarczego regionu</t>
  </si>
  <si>
    <t>1.5.2</t>
  </si>
  <si>
    <t>Expressway - promocja terenów inwestycyjnych</t>
  </si>
  <si>
    <t>Invest in BiT CITY 2. Promocja potencjału gospodarczego oraz promocja atrakcyjności inwestycyjnej miast prezydenckich województwa kujawsko-pomorskiego</t>
  </si>
  <si>
    <t>Kultura w zasięgu 2.0</t>
  </si>
  <si>
    <t>2.2</t>
  </si>
  <si>
    <t>Budowa kujawsko-pomorskiego systemu udostępniania elektronicznej dokumentacji medycznej - II etap</t>
  </si>
  <si>
    <t>Budowa kujawsko-pomorskiego systemu udostępniania elektronicznej dokumentacji medycznej - I etap</t>
  </si>
  <si>
    <t>Infostrada Kujaw i Pomorza 2.0</t>
  </si>
  <si>
    <t>2.1</t>
  </si>
  <si>
    <t>Poprawa bezpieczeństwa i komfortu życia mieszkańców oraz wsparcie niskoemisyjnego transportu drogowego poprzez wybudowanie dróg dla rowerów na terenie powiatu bydgoskiego (lider: gmina Solec Kujawski, powiat bydgoski)</t>
  </si>
  <si>
    <t>3.5.2</t>
  </si>
  <si>
    <t>Edukacja dorosłych na rzecz rynku pracy</t>
  </si>
  <si>
    <t>10.4.2</t>
  </si>
  <si>
    <t>W Kujawsko-Pomorskiem Mówisz-masz - certyfikowane szkolenia językowe</t>
  </si>
  <si>
    <t>Edukacja dorosłych w zakresie kompetencji cyfrowych i języków obcych</t>
  </si>
  <si>
    <t>10.4.1</t>
  </si>
  <si>
    <t>Wsparcie przedsiębiorczości i samozatrudnienia w regionie</t>
  </si>
  <si>
    <t>8.3</t>
  </si>
  <si>
    <t>Granty na kapitał obrotowy dla mikro i małych przedsiębiorstw w branży gastronomicznej oraz fitness w związku z wystąpieniem stanu epidemii COVID-19</t>
  </si>
  <si>
    <t>1.6.2</t>
  </si>
  <si>
    <t xml:space="preserve"> Na zadania realizowane w ramach Regionalnego Programu Operacyjnego WK-P 2014-2020</t>
  </si>
  <si>
    <t xml:space="preserve"> III DOTACJE CELOWE</t>
  </si>
  <si>
    <t xml:space="preserve">Działalność statutowa  </t>
  </si>
  <si>
    <t>Muzeum Archeologiczne w Biskupinie</t>
  </si>
  <si>
    <t xml:space="preserve">Zadanie remontowe - Wymiana pokryć dachowych, podwalin i polep w skansenie w Kłóbce
</t>
  </si>
  <si>
    <t>Zadanie remontowe - Muzeum Ziemi Kujawskiej i Dobrzyńskiej we Włocławku - remonty</t>
  </si>
  <si>
    <t>Zadanie remontowe - Wymiana pokrycia dachowego na zabytkowym spichrzu przy ul. Bulwary 9 we Włocławku</t>
  </si>
  <si>
    <t>Zadanie remontowe - Remonty</t>
  </si>
  <si>
    <t>Zadanie remontowe - Renowacja elewacji budynku pofortecznego</t>
  </si>
  <si>
    <t xml:space="preserve"> - ze środków Miasta Torunia</t>
  </si>
  <si>
    <t xml:space="preserve"> - ze środków własnych Województwa</t>
  </si>
  <si>
    <t xml:space="preserve">Działalność statutowa w tym:  </t>
  </si>
  <si>
    <t xml:space="preserve"> - ze środków Miasta Bydgoszczy</t>
  </si>
  <si>
    <t>92113</t>
  </si>
  <si>
    <t>q</t>
  </si>
  <si>
    <t>Centrum Sztuki Współczesnej "Znaki Czasu"</t>
  </si>
  <si>
    <t>Galeria i Ośrodek Plastycznej Twórczości Dziecka w Torunia</t>
  </si>
  <si>
    <t>Galeria Sztuki "Wozownia" w Toruniu</t>
  </si>
  <si>
    <t>Zadanie remontowe - Prace zabezpieczające budynek XIX - wiecznego pałacu</t>
  </si>
  <si>
    <t xml:space="preserve"> - ze środków Gminy Radomin</t>
  </si>
  <si>
    <t>Kujawsko-Pomorskie Centrum Dziedzictwa w Toruniu</t>
  </si>
  <si>
    <t>Wojewódzki Ośrodek Animacji Kultury w Toruniu</t>
  </si>
  <si>
    <t>Zadanie remontowe - Remont dachu</t>
  </si>
  <si>
    <t>Filharmonia Pomorska w Bydgoszczy</t>
  </si>
  <si>
    <t>Teatr im. W. Horzycy w Toruniu</t>
  </si>
  <si>
    <t>Dotacje dla instytucji kultury</t>
  </si>
  <si>
    <t xml:space="preserve"> II DOTACJE PODMIOTOWE</t>
  </si>
  <si>
    <t>Dotowanie kolejowych przewozów pasażerskich 2021-2030 (Pakiet I)</t>
  </si>
  <si>
    <t>Dotowanie kolejowych przewozów pasażerskich 2021-2030 (Pakiet H)</t>
  </si>
  <si>
    <t>Dotowanie kolejowych przewozów pasażerskich 2021-2030 (Pakiet G)</t>
  </si>
  <si>
    <t>Dotowanie kolejowych przewozów pasażerskich 2021-2030 (Pakiet F)</t>
  </si>
  <si>
    <t>Dotowanie kolejowych przewozów pasażerskich 2021-2030 (Pakiet E)</t>
  </si>
  <si>
    <t>Dotowanie kolejowych przewozów pasażerskich 2021-2030 (Pakiet D)</t>
  </si>
  <si>
    <t>Dotowanie kolejowych przewozów pasażerskich 2021-2030 (Pakiet C)</t>
  </si>
  <si>
    <t>Dotowanie kolejowych przewozów pasażerskich 2021-2030 (Pakiet B2)</t>
  </si>
  <si>
    <t>Dotowanie kolejowych przewozów pasażerskich 2021-2030 (Pakiet B1)</t>
  </si>
  <si>
    <t>Dotowanie kolejowych przewozów pasażerskich 2021-2030 (Pakiet A)</t>
  </si>
  <si>
    <t>Dotowanie kolejowych przewozów pasażerskich 2020-2021</t>
  </si>
  <si>
    <t>Dotowanie kolejowych przewozów pasażerskich 2020-2035</t>
  </si>
  <si>
    <t xml:space="preserve"> I DOTACJE PRZEDMIOTOWE</t>
  </si>
  <si>
    <t>bieżące</t>
  </si>
  <si>
    <t>inwestycje</t>
  </si>
  <si>
    <t>Działanie</t>
  </si>
  <si>
    <t>Razem</t>
  </si>
  <si>
    <t>Dotacje dla jednostek spoza sektora finansów publicznych</t>
  </si>
  <si>
    <t>Dotacje dla jednostek sektora finansów publicznych</t>
  </si>
  <si>
    <t>Nazwa zadania / Podmiot dotowany</t>
  </si>
  <si>
    <t xml:space="preserve">Dział </t>
  </si>
  <si>
    <r>
      <t>W załączniku nr 9</t>
    </r>
    <r>
      <rPr>
        <b/>
        <sz val="12"/>
        <rFont val="Times New Roman CE"/>
        <charset val="238"/>
      </rPr>
      <t xml:space="preserve"> "Dotacje udzielane z budżetu Województwa Kujawsko - Pomorskiego. Plan na 2021 rok"</t>
    </r>
    <r>
      <rPr>
        <sz val="12"/>
        <rFont val="Times New Roman CE"/>
        <charset val="238"/>
      </rPr>
      <t xml:space="preserve"> do uchwały XXVIII/395/20 Sejmiku Województwa Kujawsko-Pomorskiego z dnia 21 grudnia 2020 r. w sprawie budżetu województwa na rok 2021 (z późn. zm.), wprowadza się następujące zmiany:</t>
    </r>
  </si>
  <si>
    <t xml:space="preserve">Sejmiku Województwa z dnia  .04.2021 r.     </t>
  </si>
  <si>
    <t xml:space="preserve">                                                                                                                             </t>
  </si>
  <si>
    <t>c - plan po zmianie</t>
  </si>
  <si>
    <t>b - zmiana</t>
  </si>
  <si>
    <t>a - plan przed zmianą</t>
  </si>
  <si>
    <t>RPO - Regionalny Program Operacyjny Województwa Kujawsko-Pomorskiego</t>
  </si>
  <si>
    <t>Dofinansowanie działalności statutowej Wojewódzkiej Biblioteki Publicznej - Książnicy Kopernikańskiej w Toruniu</t>
  </si>
  <si>
    <t>Miasto Toruń</t>
  </si>
  <si>
    <t>Biblioteka czynna całą dobę - książkomat na osiedlu Miedzyń - Prądy (Program BBO)</t>
  </si>
  <si>
    <t>Miasto Bydgoszcz</t>
  </si>
  <si>
    <t>Bydgoszcz czyta bez końca (Program BBO)</t>
  </si>
  <si>
    <t>Gry planszowe i VR w Bibliotece (Program BBO)</t>
  </si>
  <si>
    <t>Dofinansowanie działalności statutowej Wojewódzkiej i Miejskiej Biblioteki Publicznej w Bydgoszczy</t>
  </si>
  <si>
    <t>Dofinansowanie działalności statutowej Ośrodka Chopinowskiego w Szafarni</t>
  </si>
  <si>
    <t>Gmina Radomin</t>
  </si>
  <si>
    <t>Festiwal Książki Obrazkowej dla Dzieci "LiterObrazki"
Wojewódzka i Miejska Biblioteka Publiczna w Bydgoszczy</t>
  </si>
  <si>
    <t>92105
92116</t>
  </si>
  <si>
    <t>Kwartalnik Artystyczny, Kujawy i Pomorze
Kujawsko-Pomorskie Centrum Kultury w Bydgoszczy</t>
  </si>
  <si>
    <t>92105
92109</t>
  </si>
  <si>
    <t>Bydgoski Festiwal Muzyczny
Filharmonia Pomorska w Bydgoszczy</t>
  </si>
  <si>
    <t>92105
92195</t>
  </si>
  <si>
    <t>Bydgoski Festiwal Operowy
Opera NOVA w Bydgoszczy</t>
  </si>
  <si>
    <t>Kujawsko-Pomorska Niebieska Linia - przeciwdziałanie przemocy w rodzinie</t>
  </si>
  <si>
    <t>Gminy</t>
  </si>
  <si>
    <r>
      <t xml:space="preserve">Dokształcanie uczniów
</t>
    </r>
    <r>
      <rPr>
        <i/>
        <sz val="10"/>
        <rFont val="Times New Roman CE"/>
        <charset val="238"/>
      </rPr>
      <t>Kujawsko-Pomorskie Centrum Kształcenia Zawodowego w Bydgoszczy</t>
    </r>
  </si>
  <si>
    <t>Gminy
Powiaty</t>
  </si>
  <si>
    <r>
      <t xml:space="preserve">Expressway - promocja terenów inwestycyjnych - </t>
    </r>
    <r>
      <rPr>
        <b/>
        <i/>
        <sz val="10"/>
        <rFont val="Times New Roman CE"/>
        <charset val="238"/>
      </rPr>
      <t>RPO, Dz.1.5.2</t>
    </r>
  </si>
  <si>
    <r>
      <t xml:space="preserve">Invest in BiT CITY 2. Promocja potencjału gospodarczego oraz promocja atrakcyjności inwestycyjnej miast prezydenckich województwa kujawsko-pomorskiego - </t>
    </r>
    <r>
      <rPr>
        <b/>
        <i/>
        <sz val="10"/>
        <rFont val="Times New Roman CE"/>
        <charset val="238"/>
      </rPr>
      <t>RPO, Dz.1.5.2</t>
    </r>
  </si>
  <si>
    <r>
      <t xml:space="preserve">Infostrada Kujaw i Pomorza 2.0 - </t>
    </r>
    <r>
      <rPr>
        <b/>
        <i/>
        <sz val="10"/>
        <rFont val="Times New Roman CE"/>
        <charset val="238"/>
      </rPr>
      <t>RPO, Dz.2.1</t>
    </r>
  </si>
  <si>
    <r>
      <t xml:space="preserve">Przebudowa i rozbudowa drogi wojewódzkiej Nr 559 na odcinku Lipno - Kamień Kotowy - granica województwa - </t>
    </r>
    <r>
      <rPr>
        <b/>
        <i/>
        <sz val="10"/>
        <rFont val="Times New Roman CE"/>
        <charset val="238"/>
      </rPr>
      <t>RPO, Dz.5.1</t>
    </r>
  </si>
  <si>
    <r>
      <t>Rozbudowa drogi wojewódzkiej Nr 548 Stolno-Wąbrzeźno od km 0+005 do km 29+619 z wyłączeniem węzła autostradowego w m. Lisewo od km 14+144 do km 15+146 -</t>
    </r>
    <r>
      <rPr>
        <b/>
        <i/>
        <sz val="10"/>
        <rFont val="Times New Roman CE"/>
        <charset val="238"/>
      </rPr>
      <t xml:space="preserve"> RPO, Dz.5.1</t>
    </r>
  </si>
  <si>
    <r>
      <t xml:space="preserve">Przebudowa drogi wojewódzkiej Nr 249 wraz z uruchomieniem przeprawy promowej przez Wisłę na wysokości Solca Kujawskiego i Czarnowa - </t>
    </r>
    <r>
      <rPr>
        <b/>
        <i/>
        <sz val="10"/>
        <rFont val="Times New Roman CE"/>
        <charset val="238"/>
      </rPr>
      <t>RPO, Dz.5.1</t>
    </r>
  </si>
  <si>
    <r>
      <t xml:space="preserve"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 551, 649, 554 - </t>
    </r>
    <r>
      <rPr>
        <b/>
        <i/>
        <sz val="10"/>
        <rFont val="Times New Roman CE"/>
        <charset val="238"/>
      </rPr>
      <t>RPO, Dz.3.5.2</t>
    </r>
  </si>
  <si>
    <r>
      <t xml:space="preserve">Ograniczenie emisji spalin poprzez rozbudowę sieci dróg rowerowych znajdujących się w koncepcji rozwoju systemu transportu Bydgosko-Toruńskiego Obszaru Funkcjonalnego dla: Części nr 3 - Toruń - Mała Nieszawka - Wielka Nieszawka - Cierpice  w ciągu drogi wojewódzkiej nr 273 - </t>
    </r>
    <r>
      <rPr>
        <b/>
        <i/>
        <sz val="10"/>
        <rFont val="Times New Roman CE"/>
        <charset val="238"/>
      </rPr>
      <t>RPO, Dz.3.4</t>
    </r>
  </si>
  <si>
    <r>
      <t xml:space="preserve">Ograniczenie emisji spalin poprzez rozbudowę sieci dróg rowerowych znajdujących się w koncepcji rozwoju systemu transportu Bydgosko-Toruńskiego Obszaru Funkcjonalnego dla: Części nr 2 - Złotoria - Nowa Wieś - Lubicz Górny  w ciągu drogi wojewódzkiej nr 657 - </t>
    </r>
    <r>
      <rPr>
        <b/>
        <i/>
        <sz val="10"/>
        <rFont val="Times New Roman CE"/>
        <charset val="238"/>
      </rPr>
      <t>RPO, Dz.3.4</t>
    </r>
  </si>
  <si>
    <r>
      <t>Przebudowa wraz z rozbudową drogi wojewódzkiej nr 265 Brześć Kujawski-Gostynin od km 0+003 do km 19+117 w zakresie budowy ciągów pieszo-rowerowych -</t>
    </r>
    <r>
      <rPr>
        <b/>
        <i/>
        <sz val="10"/>
        <rFont val="Times New Roman CE"/>
        <charset val="238"/>
      </rPr>
      <t xml:space="preserve"> RPO, Dz.3.4</t>
    </r>
  </si>
  <si>
    <t>Rozbudowa drogi wojewódzkiej nr 244 Kamieniec-Strzelce Dolne, m. Żołędowo, ul. Jastrzębia od km 30+068 do km 33+342, dł. 3,274 km</t>
  </si>
  <si>
    <t>Gmina Osielsko</t>
  </si>
  <si>
    <t>Opracowanie dokumentacji projektowej dla rozbudowy drogi wojewódzkiej nr 244 Kamieniec-Strzelce Dolne m. Żołędowo ul. Jastrzębia od km 30+068 do km 33+342, dł. 3,274 km</t>
  </si>
  <si>
    <t>Opracowanie dokumentacji projektowej dla rozbudowy skrzyżowania drogi woj. Nr 241 Tuchola-Sępólno Krajeńskie-Rogoźno (ul. Kościuszki) z ul. Odrodzenia i ul. Ks. Jerzego Popiełuszki w m. Sępólno Krajeńskie</t>
  </si>
  <si>
    <t>Gmina Sępólno Krajeńskie</t>
  </si>
  <si>
    <t xml:space="preserve"> Rodzaj zadania</t>
  </si>
  <si>
    <t>Jednostka Samorządu Terytorialnego</t>
  </si>
  <si>
    <t>Wydatki ogółem</t>
  </si>
  <si>
    <t>Dochody od JST</t>
  </si>
  <si>
    <t>Wyszczególnienie</t>
  </si>
  <si>
    <r>
      <t xml:space="preserve">W załączniku nr 12 </t>
    </r>
    <r>
      <rPr>
        <b/>
        <sz val="10"/>
        <rFont val="Times New Roman CE"/>
        <charset val="238"/>
      </rPr>
      <t>"Dochody i wydatki na zadania realizowane w drodze umów i porozumień między jednostkami samorządu terytorialnego. Plan na 2021 rok"</t>
    </r>
    <r>
      <rPr>
        <sz val="10"/>
        <rFont val="Times New Roman CE"/>
        <family val="1"/>
        <charset val="238"/>
      </rPr>
      <t xml:space="preserve"> do uchwały XXVIII/395/20 Sejmiku Województwa Kujawsko-Pomorskiego z dnia 21 grudnia 2020 r. w sprawie budżetu województwa na rok 2021 (z późn. zm.), wprowadza się następujące zmiany:</t>
    </r>
  </si>
  <si>
    <t xml:space="preserve">                                                                                                </t>
  </si>
  <si>
    <t xml:space="preserve">Sejmiku Województwa z dnia    .04.2021 r.          </t>
  </si>
  <si>
    <t xml:space="preserve">                                                                                 </t>
  </si>
  <si>
    <t xml:space="preserve">                                                                              </t>
  </si>
  <si>
    <t>Załącznik nr 3 do uchwały</t>
  </si>
  <si>
    <t>Nr  /       /21 Sejmiku Województwa</t>
  </si>
  <si>
    <t>z dnia    .04.2021 r.</t>
  </si>
  <si>
    <t>Załącznik nr 4 do uchwały</t>
  </si>
  <si>
    <t>z dnia   .04.2021 r.</t>
  </si>
  <si>
    <t xml:space="preserve">Załącznik nr 5 do uchwały </t>
  </si>
  <si>
    <t xml:space="preserve">Nr     /         /21 Sejmiku Województwa </t>
  </si>
  <si>
    <t>z dnia     .04.2021 r.</t>
  </si>
  <si>
    <r>
      <t xml:space="preserve">W załączniku nr 5 </t>
    </r>
    <r>
      <rPr>
        <b/>
        <sz val="10"/>
        <rFont val="Times New Roman CE"/>
        <charset val="238"/>
      </rPr>
      <t xml:space="preserve">"Wynik budżetowy i finansowy. Plan na 2021 rok" </t>
    </r>
    <r>
      <rPr>
        <sz val="10"/>
        <rFont val="Times New Roman CE"/>
        <charset val="238"/>
      </rPr>
      <t>do uchwały Nr XXVIII/395/20 Sejmiku Województwa Kujawsko-Pomorskiego z dnia 21 grudnia 2020 r. w sprawie budżetu województwa na rok 2021 (z późn.zm.), wprowadza się następujące zmiany:</t>
    </r>
  </si>
  <si>
    <t>Lp.</t>
  </si>
  <si>
    <t xml:space="preserve">Zmiana </t>
  </si>
  <si>
    <t>Dochody</t>
  </si>
  <si>
    <t>1.1</t>
  </si>
  <si>
    <t>dochody bieżące</t>
  </si>
  <si>
    <t>dochody majątkowe</t>
  </si>
  <si>
    <t>Przychody</t>
  </si>
  <si>
    <t>Niewykorzystane środki pieniężne, o których mowa w art. 217 ust. 2 pkt 8 ustawy o finansach publicznych wynikające z rozliczenia dochodów i wydatków nimi finansowanych związanych ze szczególnymi zasadami wykonywania budżetu określonymi w odrębnych ustawach</t>
  </si>
  <si>
    <t>2.2.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</si>
  <si>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</si>
  <si>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</si>
  <si>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</si>
  <si>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</si>
  <si>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</si>
  <si>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</si>
  <si>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środki, o których mowa w art. 217 ust. 2 pkt 6 ustawy o finansach publicznych</t>
  </si>
  <si>
    <t>2.3.1</t>
  </si>
  <si>
    <t>Wolne środki na spłatę zaciągniętych kredytów</t>
  </si>
  <si>
    <t>2.3.2</t>
  </si>
  <si>
    <t>Wolne środki na sfinansowanie planowanego deficytu budżetowego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</si>
  <si>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</si>
  <si>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</si>
  <si>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</si>
  <si>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</si>
  <si>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</si>
  <si>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</si>
  <si>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wydatki na obsługę długu, gwarancje i poręczenia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</si>
  <si>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</si>
  <si>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</si>
  <si>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</si>
  <si>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</si>
  <si>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</si>
  <si>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</si>
  <si>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</si>
  <si>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</si>
  <si>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</si>
  <si>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9.2</t>
  </si>
  <si>
    <t>Kredyty bankowe</t>
  </si>
  <si>
    <t>9.3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</si>
  <si>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</si>
  <si>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</si>
  <si>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</si>
  <si>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</si>
  <si>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</si>
  <si>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</si>
  <si>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</si>
  <si>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</si>
  <si>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</si>
  <si>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</si>
  <si>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</si>
  <si>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</si>
  <si>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</si>
  <si>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</si>
  <si>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</si>
  <si>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</si>
  <si>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t xml:space="preserve">Załącznik nr 6 do uchwały </t>
  </si>
  <si>
    <t>Nr     /     /21 Sejmiku Województwa</t>
  </si>
  <si>
    <r>
      <rPr>
        <sz val="16"/>
        <rFont val="Times New Roman CE"/>
        <charset val="238"/>
      </rPr>
      <t>W załączniku nr 6 pn</t>
    </r>
    <r>
      <rPr>
        <b/>
        <sz val="16"/>
        <rFont val="Times New Roman CE"/>
        <charset val="238"/>
      </rPr>
      <t xml:space="preserve">. "Projekty i działania realizowane w ramach Regionalnego Programu Operacyjnego Województwa Kujawsko-Pomorskiego 2014-2020.  Plan na 2021 rok" </t>
    </r>
    <r>
      <rPr>
        <sz val="16"/>
        <rFont val="Times New Roman CE"/>
        <charset val="238"/>
      </rPr>
      <t xml:space="preserve">do uchwały Nr XXVIII/395/20 Sejmiku Województwa Kujawsko-Pomorskiego z dnia 21 grudnia 2020 r. w sprawie budżetu województwa na rok 2021  (z późn. zm.) wprowadza się następujące zmiany: </t>
    </r>
  </si>
  <si>
    <t>L.p.</t>
  </si>
  <si>
    <t>Kategoria interwencji</t>
  </si>
  <si>
    <t>Nazwa Projektu/Działania</t>
  </si>
  <si>
    <t>Realizator/
instytucja wdrażająca</t>
  </si>
  <si>
    <t>Klasyfikacja budżetowa
Dział
Rozdział</t>
  </si>
  <si>
    <t>Wydatki całkowite
na lata 2014-2023 w tym:</t>
  </si>
  <si>
    <t>Przewidywane wykonanie do końca 2020 r.</t>
  </si>
  <si>
    <t>Wydatki 2021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</si>
  <si>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</si>
  <si>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</si>
  <si>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</si>
  <si>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</si>
  <si>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</si>
  <si>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</si>
  <si>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</si>
  <si>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</si>
  <si>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</si>
  <si>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</si>
  <si>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</si>
  <si>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</si>
  <si>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</si>
  <si>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</si>
  <si>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</si>
  <si>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8b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</si>
  <si>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</si>
  <si>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</si>
  <si>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</si>
  <si>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</si>
  <si>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</si>
  <si>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</si>
  <si>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</si>
  <si>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066</t>
  </si>
  <si>
    <t xml:space="preserve">Urząd Marszałkowski w Toruniu </t>
  </si>
  <si>
    <t>750
75075</t>
  </si>
  <si>
    <t>2016 - 2023</t>
  </si>
  <si>
    <t>Kujawy + Pomorze - promocja potencjału gospodarczego regionu - edycja II</t>
  </si>
  <si>
    <t>2021 - 2023</t>
  </si>
  <si>
    <t>2018 - 2022</t>
  </si>
  <si>
    <t>Przygotowanie i rozwój pakietu usług doradczych/informacyjnych w zakresie umiędzynarodowienia działalności przedsiębiorstw z sektora MŚP oraz pozyskania działalności inwestycyjnej przez Kujawsko-Pomorskie Centrum Obsługi Inwestorów i Eksporterów</t>
  </si>
  <si>
    <t>500
50005</t>
  </si>
  <si>
    <t>2019 - 2023</t>
  </si>
  <si>
    <t>069</t>
  </si>
  <si>
    <t>150
15011</t>
  </si>
  <si>
    <t>2020 - 2021</t>
  </si>
  <si>
    <t>078, 081, 101</t>
  </si>
  <si>
    <t>720
72095</t>
  </si>
  <si>
    <t>079, 101</t>
  </si>
  <si>
    <t>013</t>
  </si>
  <si>
    <t>Termomodernizacja obiektów użyteczności publicznej: budynek Regionalnego Ośrodka Polityki Społecznej w Toruniu</t>
  </si>
  <si>
    <t>ROPS 
w Toruniu</t>
  </si>
  <si>
    <t>852
85217</t>
  </si>
  <si>
    <t>2019 - 2021</t>
  </si>
  <si>
    <t>090</t>
  </si>
  <si>
    <t>Przebudowa wraz z rozbudową drogi wojewódzkiej Nr 265 Brześć Kujawski-Gostynin od km 0+003 do km 19+117 w zakresie dotyczącym budowy ciągów pieszo-rowerowych</t>
  </si>
  <si>
    <t>ZDW 
w Bydgoszczy</t>
  </si>
  <si>
    <t>600                 60013</t>
  </si>
  <si>
    <t>2017 - 2021</t>
  </si>
  <si>
    <t>Ograniczenie emisji spalin poprzez budowę ścieżki rowerowo-pieszej przy drodze wojewódzkiej nr 269 od Powiatowego Centrum Kształcenia Zawodowego w Chodczu do istniejącego odcinka w granicach administracyjnych Miasta Chodecz</t>
  </si>
  <si>
    <t>600
60013</t>
  </si>
  <si>
    <t>Ograniczenie emisji spalin poprzez rozbudowę sieci dróg rowerowych, znajdujących się w koncepcji rozwoju systemu transportu Bydgosko-Toruńskiego Obszaru Funkcjonalnego dla: Części nr 2 - Złotoria - Nowa Wieś - Lubicz Górny w ciągu drogi wojewódzkiej nr 657</t>
  </si>
  <si>
    <t>2016 - 2022</t>
  </si>
  <si>
    <t>Ograniczenie emisji spalin poprzez rozbudowę sieci dróg rowerowych, znajdujących się w koncepcji rozwoju systemu transportu Bydgosko-Toruńskiego Obszaru Funkcjonalnego dla: Części nr 3 - Toruń - Mała Nieszawka - Wielka Nieszawka - Cierpice w ciągu drogi wojewódzkiej nr 273</t>
  </si>
  <si>
    <t>Poprawa bezpieczeństwa i komfortu życia mieszkańców oraz wsparcie niskoemisyjnego transportu drogowego poprzez wybudowanie dróg rowerowych na terenie powiatu bydgoskiego (lider:  gmina Solec Kujawski, powiat bydgoski)</t>
  </si>
  <si>
    <t>2017 - 2023</t>
  </si>
  <si>
    <t>Ograniczenie emisji spalin poprzez rozbudowę sieci dróg rowerowych, znajdujących się w koncepcji rozwoju systemu transportu Bydgosko-Toruńskiego Obszaru Funkcjonalnego dla: Części nr 1 - Nawra - Kończewice - Chełmża - Zalesie - Kiełbasin - Mlewo - Mlewiec - Srebrniki - Sierakowo w ciągu dróg wojewódzkich nr: 551, 649, 554</t>
  </si>
  <si>
    <t>017, 018</t>
  </si>
  <si>
    <t>900
90026</t>
  </si>
  <si>
    <t>2018 - 2023</t>
  </si>
  <si>
    <t>094, 095</t>
  </si>
  <si>
    <t>921
92195</t>
  </si>
  <si>
    <t>094</t>
  </si>
  <si>
    <t>921
92120</t>
  </si>
  <si>
    <t>4.5</t>
  </si>
  <si>
    <t>085</t>
  </si>
  <si>
    <t xml:space="preserve">Poprawa różnorodności biologicznej poprzez zarybianie j. Gopło oraz rozbudowa obiektu o część ekspozycji przyrodniczo-historycznej </t>
  </si>
  <si>
    <t>NPT</t>
  </si>
  <si>
    <t>925
92502</t>
  </si>
  <si>
    <t>Budowa stacji terenowo-badawczej "Podmoście"</t>
  </si>
  <si>
    <t>ZPKnDW</t>
  </si>
  <si>
    <t>Modernizacja zagrody wiejskiej w Dusocinie na potrzeby ośrodka edukacji ekologicznej na terenie Parku Krajobrazowego "Góry Łosiowe" wraz z czynną ochroną przyrody na obszarze Natura 2000</t>
  </si>
  <si>
    <t>2018 - 2021</t>
  </si>
  <si>
    <t>034</t>
  </si>
  <si>
    <t>Rozbudowa drogi wojewódzkiej Nr 548 Stolno-Wąbrzeźno od km 0+005 do km 29+619 z wyłączeniem węzła autostradowego w m. Lisewo od km 14+144 do km 15+146</t>
  </si>
  <si>
    <t>Przebudowa i rozbudowa drogi wojewódzkiej Nr 559 na odcinku Lipno - Kamień Kotowy - granica województwa</t>
  </si>
  <si>
    <t>Przebudowa wraz z rozbudową drogi wojewódzkiej Nr 265 Brześć Kujawski-Gostynin od km 0+003 do km 19+117</t>
  </si>
  <si>
    <t>2016 - 2021</t>
  </si>
  <si>
    <t>Przebudowa i rozbudowa drogi wojewódzkiej Nr 255 Pakość - Strzelno od km 0+005 do km 21+910, Etap I - Rozbudowa drogi wojewódzkiej Nr 255 na odc. od km 0+005 do km 2+220, dł. 2,215 km"</t>
  </si>
  <si>
    <t>Przebudowa wraz z rozbudową drogi wojewódzkiej Nr 254 Brzoza-Łabiszyn-Barcin-Mogilno-Wylatowo (odcinek Brzoza-Barcin). Odcinek I od km 0+069 do km 13+280</t>
  </si>
  <si>
    <t>Rozbudowa drogi wojewódzkiej Nr 270 Brześć Kujawski-Izbica Kujawska-Koło od km 0+000 do km 29+023 - Budowa obwodnicy m. Lubraniec</t>
  </si>
  <si>
    <t>2017 - 2022</t>
  </si>
  <si>
    <t>Przebudowa drogi wojewódzkiej Nr 249 wraz z uruchomieniem przeprawy promowej przez Wisłę na wysokości Solca Kujawskiego i Czarnowa</t>
  </si>
  <si>
    <t>Rozbudowa drogi wojewódzkiej Nr 251 Kaliska-Inowrocław na odcinku od km 19+649 (od granicy województwa kujawsko-pomorskiego)  do km 34+200 oraz od km 34+590,30 do km 35+290 wraz z przebudową mostu na rzece Gąsawka w miejscowości Żnin</t>
  </si>
  <si>
    <t>5.3</t>
  </si>
  <si>
    <t>026</t>
  </si>
  <si>
    <t>Opracowanie dokumentacji projektowej i przedprojektowej dla projektu pn. Budowa linii kolejowej na odcinku Trzciniec - Port Lotniczy Bydgoszcz - Solec Kujawski - etap I i II</t>
  </si>
  <si>
    <t>600                 60002</t>
  </si>
  <si>
    <t>052, 053</t>
  </si>
  <si>
    <t>Doposażenie szpitali w województwie kujawsko-pomorskim związane z zapobieganiem, przeciwdzialaniem i zwalczaniem COVID-19</t>
  </si>
  <si>
    <t>851                 85195</t>
  </si>
  <si>
    <t>Doposażenie szpitali w województwie kujawsko-pomorskim w związku z zapobieganiem, przeciwdzialaniem i zwalczaniem COVID-19 - etap II</t>
  </si>
  <si>
    <t xml:space="preserve">ROPS                  w Toruniu </t>
  </si>
  <si>
    <t>052</t>
  </si>
  <si>
    <t>Tylko w Korczaku jest super dzieciaku</t>
  </si>
  <si>
    <t>854                 85403</t>
  </si>
  <si>
    <t>"Dostrzec to co niewidoczne" - zwiększenie dostępności do edukacji przedszkolnej w ośrodku Braille'a w Bydgoszczy</t>
  </si>
  <si>
    <t>Artyści w zawodzie - modernizacja warsztatów kształcenia zawodowego w KPSOSW im. J. Korczaka w Toruniu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</si>
  <si>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</si>
  <si>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Kwalifikacyjne Kursy Zawodowe twoją zawodową szansą - nowe formy praktycznej nauki zawodu w Kujawsko-Pomorskim Centrum Kształcenia Zawodowego w Bydgoszczy</t>
  </si>
  <si>
    <t>801                 80140</t>
  </si>
  <si>
    <t>6.5</t>
  </si>
  <si>
    <t>075, 093</t>
  </si>
  <si>
    <t>Utworzenie Centrum Czynnej Ochrony Przyrody Wdeckiego Parku Krajobrazowego</t>
  </si>
  <si>
    <t>WPK</t>
  </si>
  <si>
    <t>105</t>
  </si>
  <si>
    <t>852                 85295</t>
  </si>
  <si>
    <t>107</t>
  </si>
  <si>
    <t>Zdrowi i aktywni w pracy 2</t>
  </si>
  <si>
    <t>Zdrowiej w pracy i po pracy</t>
  </si>
  <si>
    <t>WUP 
w Toruniu</t>
  </si>
  <si>
    <t>853
85332</t>
  </si>
  <si>
    <t>2020 - 2022</t>
  </si>
  <si>
    <t>109</t>
  </si>
  <si>
    <t>852
85295</t>
  </si>
  <si>
    <t>Trampolina 2</t>
  </si>
  <si>
    <t>112</t>
  </si>
  <si>
    <t>Realizacja działań z zakresu edukacji i bezpieczeństwa publicznego ukierunkowanych na kształtowanie własciwych postaw funkcjonowania społecznego w sytuacji występowania zagrożeń epidemiologicznych</t>
  </si>
  <si>
    <t>851
85195</t>
  </si>
  <si>
    <t>Ograniczenie negatywnych skutków COVID-19  poprzez działania profilaktyczne i zabezpieczające skierowane do służb medycznych</t>
  </si>
  <si>
    <t>Organizacja ośrodków regeneracji w celu ograniczania negatywnych skutków Covid-19</t>
  </si>
  <si>
    <t>855
85595</t>
  </si>
  <si>
    <t>2021 - 2022</t>
  </si>
  <si>
    <t>Pogodna jesień życia na Kujawach i Pomorzu - projekt rozwoju pomocy środowiskowej dla seniorów (Lider Kujawsko-Pomorski Oddział Okręgowy Polskiego Czerwonego Krzyża w Bydgoszczy)</t>
  </si>
  <si>
    <t>2020 - 2023</t>
  </si>
  <si>
    <t>853
85395</t>
  </si>
  <si>
    <t>9.4.2</t>
  </si>
  <si>
    <t>113</t>
  </si>
  <si>
    <t>Koordynacja rozwoju ekonomii społecznej w województwie kujawsko-pomorskim (II)</t>
  </si>
  <si>
    <t>10.2.1</t>
  </si>
  <si>
    <t>115</t>
  </si>
  <si>
    <t>Przedszkolaki - debeściaki - edukacja przedszkolna i terapia dla dzieci z niepełnosprawnościami</t>
  </si>
  <si>
    <t>801
80105</t>
  </si>
  <si>
    <t>801
80195</t>
  </si>
  <si>
    <t>118</t>
  </si>
  <si>
    <t>Mistrz zawodu - moja niepełnosprawność na rynku pracy</t>
  </si>
  <si>
    <t>801
80134</t>
  </si>
  <si>
    <t>Zdobądź z nami doświadczenie - to cos więcej niż uczenie</t>
  </si>
  <si>
    <t>10.3.1</t>
  </si>
  <si>
    <t>Prymus Pomorza i Kujaw</t>
  </si>
  <si>
    <t>854
85416</t>
  </si>
  <si>
    <t>Humaniści na start</t>
  </si>
  <si>
    <t>10.3.2</t>
  </si>
  <si>
    <t>Prymusi Zawodu Kujaw i Pomorza II</t>
  </si>
  <si>
    <t>117</t>
  </si>
  <si>
    <t>W Kujawsko-Pomorskiem - Mówisz - masz - certyfikowane szkolenia językowe</t>
  </si>
  <si>
    <t>150
15013</t>
  </si>
  <si>
    <t>Wydatki realizowane i nadzorowane przez wojewódzkie jednostki organizacyjne</t>
  </si>
  <si>
    <t>Wydatki realizowane w ramach pomocy technicznej</t>
  </si>
  <si>
    <t>12.1</t>
  </si>
  <si>
    <t>121, 122</t>
  </si>
  <si>
    <t>WPD PT Sprawne zarządzanie i wdrażanie RPO WK-P 
w latach 2018-2022</t>
  </si>
  <si>
    <t>750
75018</t>
  </si>
  <si>
    <t>Opracowanie dokumentacji projektowej dla strategicznych zadań w szpitalach wojewódzkich dla nowego okresu programowania 2021-2027</t>
  </si>
  <si>
    <t>851
85111</t>
  </si>
  <si>
    <t>Wykonanie dokumentacji projektowej dla zadania inwestycyjnego pn. "Remont, przebudowa i rozbudowa Filharmonii Pomorskiej im. Ignacego Jana Paderewskiego w Bydgoszczy"</t>
  </si>
  <si>
    <t>921
92108</t>
  </si>
  <si>
    <t>Pomoc Techniczna RPO WK-P 2014-2020 Działanie 12.1 (pula do wykorzystania)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</si>
  <si>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</si>
  <si>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</si>
  <si>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</si>
  <si>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</si>
  <si>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013, 014</t>
  </si>
  <si>
    <t xml:space="preserve">Efektywność energetyczna w sektorze publicznym i mieszkaniowym </t>
  </si>
  <si>
    <t>900
90095</t>
  </si>
  <si>
    <t>X</t>
  </si>
  <si>
    <t>043, 044, 090</t>
  </si>
  <si>
    <t>900
90015</t>
  </si>
  <si>
    <t>088</t>
  </si>
  <si>
    <t>754
75412</t>
  </si>
  <si>
    <t>020, 021, 022, 023</t>
  </si>
  <si>
    <t>900
90001</t>
  </si>
  <si>
    <t>053</t>
  </si>
  <si>
    <t>851
85111
85117</t>
  </si>
  <si>
    <t>053, 054, 055, 101</t>
  </si>
  <si>
    <t>034, 054, 055, 101</t>
  </si>
  <si>
    <t>052, 080, 101</t>
  </si>
  <si>
    <t>801
80104</t>
  </si>
  <si>
    <t>049, 050, 080, 101</t>
  </si>
  <si>
    <t>801
80115</t>
  </si>
  <si>
    <t>034, 097</t>
  </si>
  <si>
    <t>102</t>
  </si>
  <si>
    <t>104</t>
  </si>
  <si>
    <t>106</t>
  </si>
  <si>
    <t>Wsparcie na rzecz wydłużania aktywności zawodowej mieszkańców</t>
  </si>
  <si>
    <t>851            85195</t>
  </si>
  <si>
    <t xml:space="preserve">Regionalne programy polityki zdrowotnej i profilaktyczne </t>
  </si>
  <si>
    <t>851            85149</t>
  </si>
  <si>
    <t>852            85228</t>
  </si>
  <si>
    <t>852            85295</t>
  </si>
  <si>
    <t>852            85203</t>
  </si>
  <si>
    <t>801 
80195</t>
  </si>
  <si>
    <t>150 
15013</t>
  </si>
  <si>
    <t>Działania i projekty realizowane przez beneficjentów zewnętrznych, którym samorząd województwa przekazuje dotacje na współfinansowanie krajowe</t>
  </si>
  <si>
    <t>Plan przed zmianą</t>
  </si>
  <si>
    <t>Zmiana</t>
  </si>
  <si>
    <t>Plan po zmianie</t>
  </si>
  <si>
    <t>z dnia      .04.2021 r.</t>
  </si>
  <si>
    <t>Nr    /      /21 Sejmiku Województwa</t>
  </si>
  <si>
    <r>
      <t xml:space="preserve">W załączniku nr 7 pn. </t>
    </r>
    <r>
      <rPr>
        <b/>
        <sz val="16"/>
        <rFont val="Times New Roman CE"/>
        <charset val="238"/>
      </rPr>
      <t xml:space="preserve">"Pozostałe projekty i działania realizowane ze środków zagranicznych. Plan na 2021 rok" </t>
    </r>
    <r>
      <rPr>
        <sz val="16"/>
        <rFont val="Times New Roman CE"/>
        <charset val="238"/>
      </rPr>
      <t xml:space="preserve">do uchwały XXVIII/395/20 Sejmiku Województwa Kujawsko-Pomorskiego z dnia 21 grudnia 2020 r. w sprawie budżetu województwa na rok 2021  (z późn. zm.) wprowadza się następujące zmiany: </t>
    </r>
  </si>
  <si>
    <t xml:space="preserve">Program/ Działanie </t>
  </si>
  <si>
    <t>Nazwa Projektu</t>
  </si>
  <si>
    <t>Wydatki całkowite
 w tym:</t>
  </si>
  <si>
    <t>Przewidywane wykonanie do końca 2020 r. w tym:</t>
  </si>
  <si>
    <t>Krajowy wkład publiczny</t>
  </si>
  <si>
    <t>Inne publiczne</t>
  </si>
  <si>
    <t xml:space="preserve">Wydatki realizowane przez wojewódzkie jednostki organizacyjne </t>
  </si>
  <si>
    <t>PO PT</t>
  </si>
  <si>
    <t>Punkty Informacyjne Funduszy Europejskich WK-P</t>
  </si>
  <si>
    <t>750
75095</t>
  </si>
  <si>
    <t>2014 - 2021</t>
  </si>
  <si>
    <t>Wsparcie gmin w przygotowaniu i koordynacji programów rewitalizacji</t>
  </si>
  <si>
    <t>2019 - 2022</t>
  </si>
  <si>
    <t>PO WER
Działanie 1.2</t>
  </si>
  <si>
    <t>Wsparcie osób młodych na regionalnym rynku pracy - projekty konkursowe</t>
  </si>
  <si>
    <t>WUP
w Toruniu</t>
  </si>
  <si>
    <t>PO WER
Działanie 2.5</t>
  </si>
  <si>
    <t>ROPS
w Toruniu</t>
  </si>
  <si>
    <t>PO WER
Działanie 2.14</t>
  </si>
  <si>
    <t>Lokalny Ośrodek Wiedzy i Edukacji w K-P SOSW Nr 1 w Bydgoszczy</t>
  </si>
  <si>
    <t>KPSOSW Nr 1 w Bydgoszczy</t>
  </si>
  <si>
    <t>PO WER
Działanie 2.18</t>
  </si>
  <si>
    <t>Wdrażanie standardów obsługi inwestora w samorządach województwa kujawsko-pomorskiego 
(lider: Euro Innowacje sp. z o.o.)</t>
  </si>
  <si>
    <t>PO WER 
Pomoc Techniczna</t>
  </si>
  <si>
    <t>Pomoc Techniczna Programu Operacyjnego Wiedza Edukacja Rozwój</t>
  </si>
  <si>
    <t>2015 - 2021</t>
  </si>
  <si>
    <t>PO IŚ
Działanie 8.1</t>
  </si>
  <si>
    <t>Młyn Kultury - Przebudowa, rozbudowa i zmiana sposobu użytkowania budynku magazynowego przy ul. Kościuszki 77 w Toruniu - na budynek o funkcji użyteczności publicznej</t>
  </si>
  <si>
    <t xml:space="preserve">PROW
Pomoc Techniczna </t>
  </si>
  <si>
    <t>Schemat I - Wzmocnienie systemu wdrażania Programu</t>
  </si>
  <si>
    <t>010
01041</t>
  </si>
  <si>
    <t>2015 - 2023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</si>
  <si>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</si>
  <si>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</si>
  <si>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</si>
  <si>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</si>
  <si>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</si>
  <si>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ERASMUS+</t>
  </si>
  <si>
    <t>Podróż ku niezależności (A journey to independence)</t>
  </si>
  <si>
    <t>INTERREG (Europa)</t>
  </si>
  <si>
    <t>Digitourism</t>
  </si>
  <si>
    <t>150
15095</t>
  </si>
  <si>
    <t>INTERREG (Region Morza Bałtyckiego)</t>
  </si>
  <si>
    <t>EMMA Extension</t>
  </si>
  <si>
    <t>600
60095</t>
  </si>
  <si>
    <t>ECO-CICLE</t>
  </si>
  <si>
    <t>630
63095</t>
  </si>
  <si>
    <t>Cult-CreaTE</t>
  </si>
  <si>
    <t>ThreeT</t>
  </si>
  <si>
    <t>Combine</t>
  </si>
  <si>
    <t>Załącznik nr 7 do uchwały</t>
  </si>
  <si>
    <t>Nr   /     /21 Sejmiku Województwa</t>
  </si>
  <si>
    <t>Załącznik nr 9 do uchwały Nr    /     /21</t>
  </si>
  <si>
    <t>Załącznik nr 10 do uchwały Nr  /     /21</t>
  </si>
  <si>
    <r>
      <t xml:space="preserve">W załączniku nr 14 </t>
    </r>
    <r>
      <rPr>
        <b/>
        <sz val="10"/>
        <rFont val="Times New Roman CE"/>
        <charset val="238"/>
      </rPr>
      <t>"Dochody i wydatki na zadania związane ze szczególnymi zasadami wykonywania budżetu wynikające z odrębnych ustaw. Plan na 2021 rok"</t>
    </r>
    <r>
      <rPr>
        <sz val="10"/>
        <rFont val="Times New Roman CE"/>
        <charset val="238"/>
      </rPr>
      <t xml:space="preserve"> do uchwały Nr XXVIII/395/20 Sejmiku Województwa Kujawsko-Pomorskiego z dnia 21 grudnia 2020 r. w sprawie budżetu województwa na rok 2021 (z późn. zm.), wprowadza się następujące zmiany:</t>
    </r>
  </si>
  <si>
    <t>rozdział/
paragraf</t>
  </si>
  <si>
    <t xml:space="preserve">Wyszczególnienie </t>
  </si>
  <si>
    <t xml:space="preserve">Plan  
przed zmianą </t>
  </si>
  <si>
    <t>Zwiększenia</t>
  </si>
  <si>
    <t xml:space="preserve">Zmniejszenia </t>
  </si>
  <si>
    <t>Plan 
po zmianie</t>
  </si>
  <si>
    <t>ustawa z dnia 3 lutego 1995 r. o ochronie gruntów rolnych i leśnych</t>
  </si>
  <si>
    <t>Opłaty związane z wyłączeniem z produkcji gruntów rolnych</t>
  </si>
  <si>
    <t>0690</t>
  </si>
  <si>
    <t>Wpływy z różnych opłat</t>
  </si>
  <si>
    <t>Koszty postępowania sądowego i prokuratorskiego</t>
  </si>
  <si>
    <t>Szkolenia pracowników niebędących członkami korpusu służby cywilnej</t>
  </si>
  <si>
    <t>Dotacja celowa z budżetu na finansowanie lub dofinansowanie kosztów realizacji inwestycji i zakupów inwestycyjnych jednostek niezaliczanych do sektora finansów publicznych</t>
  </si>
  <si>
    <t xml:space="preserve">ustawa z dnia 26 października 1982 r. o wychowaniu w trzeźwości i przeciwdziałaniu alkoholizmowi </t>
  </si>
  <si>
    <t>Wpływy z opłat za zezwolenia na sprzedaż alkoholu</t>
  </si>
  <si>
    <t>0480</t>
  </si>
  <si>
    <t>Wpływy z opłat za zezwolenia na sprzedaż
napojów alkoholowych</t>
  </si>
  <si>
    <t>Przeciwdziałanie narkomanii</t>
  </si>
  <si>
    <t>Nagrody konkursowe</t>
  </si>
  <si>
    <t>GRANTY-Przeciwdziałanie narkomanii w woj. kujawsko-pomorskim</t>
  </si>
  <si>
    <t>Dotacja celowa z budżetu jednostki samorządu terytorialnego, udzielone w trybie art. 221 ustawy, na finansowanie lub dofinansowanie zadań zleconych do realizacji organizacjom
prowadzącym działalność pożytku publicznego</t>
  </si>
  <si>
    <t>GRANTY-Aktywizacja środowisk wiejskich w zakresie rozwiazywania problemów alkoholowych, narkomanii i uzależnień</t>
  </si>
  <si>
    <t>GRANTY-Rozwiązywanie problemów alkoholowych w woj. kujawsko-pomorskim</t>
  </si>
  <si>
    <t>ustawa z dnia 27 sierpnia 1997 r. o rehabilitacji zawodowej i społecznej oraz zatrudnianiu osób niepełnosprawnych</t>
  </si>
  <si>
    <t>Odpis od środków przyznanych z PFRON</t>
  </si>
  <si>
    <t>Obsługa zadań finansowanych ze środków PFRON</t>
  </si>
  <si>
    <t>ustawa z dnia 27 kwietnia 2001 r. Prawo ochrony środowiska</t>
  </si>
  <si>
    <t>Odpis z tytułu wpłat za korzystanie ze środowiska</t>
  </si>
  <si>
    <t>Obsługa opłat środowiskowych</t>
  </si>
  <si>
    <t xml:space="preserve">ustawa z dnia 13 czerwca 2013 r. o gospodarce opakowaniami i odpadami opakowaniowymi </t>
  </si>
  <si>
    <t>Odpisy od opłaty produktowej wynikającej z ustawy o gospodarce opakowaniami i odpadami opakowaniowymi (opłata produktowa za opakowania)</t>
  </si>
  <si>
    <t>0400</t>
  </si>
  <si>
    <t>Wpływy z opłaty produktowej</t>
  </si>
  <si>
    <t>Realizacja ustawy o gospodarce opakowaniami i odpadami opakowaniowymi (opłata produktowa za opakowania)</t>
  </si>
  <si>
    <t>Odpisy od opłaty recyklingowej od nabywającego torbę na zakupy z tworzywa sztucznego</t>
  </si>
  <si>
    <t>0240</t>
  </si>
  <si>
    <t>Wpływy z opłaty recyklingowej</t>
  </si>
  <si>
    <t>Obsługa opłaty recyklingowej od nabywającego torbę na zakupy z tworzywa sztucznego</t>
  </si>
  <si>
    <t xml:space="preserve">ustawa z dnia 11 maja 2001 r. o obowiązkach przedsiębiorcy w zakresie gospodarowania niektórymi odpadami oraz o opłacie produktowej </t>
  </si>
  <si>
    <t>Odpisy od opłaty produktowej wynikające z ustawy o obowiązkach przedsiębiorców w zakresie gospodarowania niektórymi odpadami oraz o opłacie produktowej (opłata produktowa za oleje i opony)</t>
  </si>
  <si>
    <t>Realizacja ustawy o obowiązkach przedsiębiorców w zakresie gospodarowania niektórymi odpadami oraz o opłacie
produktowej (opłata produktowa za oleje i opony)</t>
  </si>
  <si>
    <t xml:space="preserve">ustawa z dnia 24 kwietnia 2009 r. o bateriach i akumulatorach </t>
  </si>
  <si>
    <t>Odpis od dochodów związanych z gromadzeniem środków z tytułu wprowadzania do obrotu baterii i akumulatorów</t>
  </si>
  <si>
    <t>Obsługa opłat związanych z gromadzeniem środków z tytułu wprowadzania do obrotu baterii i akumulatorów</t>
  </si>
  <si>
    <t xml:space="preserve">ustawa z dnia 20 stycznia 2005 r. o recyklingu pojazdów wycofanych z eksploatacji </t>
  </si>
  <si>
    <t>Odpis z tytułu opłat wynikających z ustawy o recyklingu pojazdów wycofanych z eksploatacji</t>
  </si>
  <si>
    <t>Realizacja ustawy o recyklingu pojazdów wycofanych z eksploatacji</t>
  </si>
  <si>
    <t>ustawa z dnia 11 września 2015 r. o zużytym sprzęcie elektrycznym i elektronicznym</t>
  </si>
  <si>
    <t>Odpis z tytułu opłat wynikających z ustawy o zużytym sprzęcie elektrycznym i elektronicznym</t>
  </si>
  <si>
    <t>Realizacja ustawy o zużytym sprzęcie elektrycznym i elektronicznym</t>
  </si>
  <si>
    <t xml:space="preserve">ustawa z dnia 14 grudnia 2012 r. o odpadach </t>
  </si>
  <si>
    <t>Odpisy od wpływów z opłat rejestrowych i opłat rocznych</t>
  </si>
  <si>
    <t>Obsługa opłaty rejestrowej i opłaty rocznej</t>
  </si>
  <si>
    <t>Ogółem:</t>
  </si>
  <si>
    <t>Załącznik nr 11 do uchwały</t>
  </si>
  <si>
    <t xml:space="preserve">z dnia   .04.2021 r. </t>
  </si>
  <si>
    <t xml:space="preserve">Nr       /      /21  Sejmiku Województwa </t>
  </si>
  <si>
    <t xml:space="preserve">Urząd Marszałkowski w Toruniu/ KPSOSW nr 2 w Bydgoszczy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</si>
</sst>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charset val="238"/>
    </font>
    <font>
      <b/>
      <sz val="13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  <charset val="238"/>
    </font>
    <font>
      <sz val="11"/>
      <name val="Times New Roman CE"/>
      <family val="1"/>
      <charset val="238"/>
    </font>
    <font>
      <u/>
      <sz val="11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b/>
      <i/>
      <sz val="10"/>
      <color indexed="8"/>
      <name val="Times New Roman CE"/>
      <charset val="238"/>
    </font>
    <font>
      <i/>
      <sz val="10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i/>
      <sz val="10"/>
      <color indexed="8"/>
      <name val="Times New Roman CE"/>
      <family val="1"/>
      <charset val="238"/>
    </font>
    <font>
      <b/>
      <i/>
      <sz val="11"/>
      <color indexed="8"/>
      <name val="Times New Roman CE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indexed="8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0"/>
      <color indexed="8"/>
      <name val="Times New Roman CE"/>
      <family val="1"/>
      <charset val="238"/>
    </font>
    <font>
      <i/>
      <sz val="10"/>
      <color indexed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charset val="238"/>
    </font>
    <font>
      <b/>
      <i/>
      <u/>
      <sz val="10"/>
      <name val="Times New Roman CE"/>
      <charset val="238"/>
    </font>
    <font>
      <sz val="12"/>
      <name val="Times New Roman"/>
      <family val="1"/>
      <charset val="238"/>
    </font>
    <font>
      <b/>
      <sz val="16"/>
      <name val="Times New Roman CE"/>
      <charset val="238"/>
    </font>
    <font>
      <sz val="16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family val="2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sz val="9"/>
      <name val="Times New Roman CE"/>
      <family val="1"/>
      <charset val="238"/>
    </font>
    <font>
      <b/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8"/>
      <name val="Times New Roman CE"/>
      <family val="1"/>
      <charset val="238"/>
    </font>
    <font>
      <b/>
      <sz val="12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3" fillId="0" borderId="0"/>
    <xf numFmtId="0" fontId="1" fillId="0" borderId="0"/>
    <xf numFmtId="0" fontId="6" fillId="0" borderId="0"/>
    <xf numFmtId="0" fontId="28" fillId="0" borderId="0"/>
    <xf numFmtId="0" fontId="3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28" fillId="0" borderId="0"/>
    <xf numFmtId="0" fontId="6" fillId="0" borderId="0"/>
    <xf numFmtId="0" fontId="3" fillId="0" borderId="0"/>
    <xf numFmtId="0" fontId="76" fillId="0" borderId="0"/>
    <xf numFmtId="0" fontId="76" fillId="0" borderId="0"/>
    <xf numFmtId="0" fontId="3" fillId="0" borderId="0"/>
    <xf numFmtId="0" fontId="1" fillId="0" borderId="0"/>
    <xf numFmtId="0" fontId="6" fillId="0" borderId="0"/>
  </cellStyleXfs>
  <cellXfs count="133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3" fontId="7" fillId="0" borderId="0" xfId="0" applyNumberFormat="1" applyFont="1" applyFill="1"/>
    <xf numFmtId="3" fontId="5" fillId="0" borderId="0" xfId="0" applyNumberFormat="1" applyFont="1" applyFill="1"/>
    <xf numFmtId="3" fontId="7" fillId="0" borderId="0" xfId="0" applyNumberFormat="1" applyFont="1"/>
    <xf numFmtId="3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6" fillId="0" borderId="0" xfId="0" applyFont="1"/>
    <xf numFmtId="3" fontId="8" fillId="0" borderId="3" xfId="0" applyNumberFormat="1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3" fillId="0" borderId="0" xfId="0" applyFont="1"/>
    <xf numFmtId="4" fontId="5" fillId="0" borderId="0" xfId="0" applyNumberFormat="1" applyFont="1" applyAlignment="1">
      <alignment vertical="top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 vertical="top"/>
    </xf>
    <xf numFmtId="4" fontId="11" fillId="0" borderId="0" xfId="0" applyNumberFormat="1" applyFont="1" applyBorder="1" applyAlignment="1">
      <alignment vertical="center"/>
    </xf>
    <xf numFmtId="4" fontId="13" fillId="0" borderId="0" xfId="0" applyNumberFormat="1" applyFont="1"/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13" fillId="2" borderId="1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3" fontId="14" fillId="2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4" fillId="2" borderId="1" xfId="0" applyNumberFormat="1" applyFont="1" applyFill="1" applyBorder="1" applyAlignment="1">
      <alignment vertical="top"/>
    </xf>
    <xf numFmtId="3" fontId="14" fillId="0" borderId="1" xfId="0" applyNumberFormat="1" applyFont="1" applyFill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14" fillId="3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top"/>
    </xf>
    <xf numFmtId="4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Fill="1" applyAlignment="1">
      <alignment vertical="top"/>
    </xf>
    <xf numFmtId="3" fontId="10" fillId="0" borderId="6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vertical="top" wrapText="1"/>
    </xf>
    <xf numFmtId="4" fontId="14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top"/>
    </xf>
    <xf numFmtId="3" fontId="5" fillId="2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4" fontId="13" fillId="2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/>
    <xf numFmtId="3" fontId="15" fillId="0" borderId="0" xfId="0" applyNumberFormat="1" applyFont="1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3" fontId="20" fillId="0" borderId="1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15" fillId="0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9" fontId="26" fillId="0" borderId="8" xfId="5" applyNumberFormat="1" applyFont="1" applyBorder="1" applyAlignment="1">
      <alignment horizontal="center" vertical="top" wrapText="1"/>
    </xf>
    <xf numFmtId="49" fontId="26" fillId="0" borderId="0" xfId="5" applyNumberFormat="1" applyFont="1" applyBorder="1" applyAlignment="1">
      <alignment horizontal="center" vertical="top" wrapText="1"/>
    </xf>
    <xf numFmtId="0" fontId="26" fillId="0" borderId="8" xfId="5" applyFont="1" applyBorder="1" applyAlignment="1">
      <alignment vertical="top" wrapText="1"/>
    </xf>
    <xf numFmtId="3" fontId="26" fillId="0" borderId="0" xfId="5" applyNumberFormat="1" applyFont="1" applyBorder="1" applyAlignment="1">
      <alignment vertical="top" wrapText="1"/>
    </xf>
    <xf numFmtId="3" fontId="26" fillId="0" borderId="8" xfId="5" applyNumberFormat="1" applyFont="1" applyBorder="1" applyAlignment="1">
      <alignment vertical="top" wrapText="1"/>
    </xf>
    <xf numFmtId="49" fontId="26" fillId="0" borderId="4" xfId="5" applyNumberFormat="1" applyFont="1" applyBorder="1" applyAlignment="1">
      <alignment horizontal="center" vertical="top" wrapText="1"/>
    </xf>
    <xf numFmtId="49" fontId="26" fillId="0" borderId="5" xfId="5" applyNumberFormat="1" applyFont="1" applyBorder="1" applyAlignment="1">
      <alignment horizontal="center" vertical="top" wrapText="1"/>
    </xf>
    <xf numFmtId="0" fontId="26" fillId="0" borderId="4" xfId="5" applyFont="1" applyBorder="1" applyAlignment="1">
      <alignment vertical="top" wrapText="1"/>
    </xf>
    <xf numFmtId="3" fontId="26" fillId="0" borderId="5" xfId="5" applyNumberFormat="1" applyFont="1" applyBorder="1" applyAlignment="1">
      <alignment vertical="top" wrapText="1"/>
    </xf>
    <xf numFmtId="3" fontId="26" fillId="0" borderId="4" xfId="5" applyNumberFormat="1" applyFont="1" applyBorder="1" applyAlignment="1">
      <alignment vertical="top" wrapText="1"/>
    </xf>
    <xf numFmtId="49" fontId="27" fillId="0" borderId="8" xfId="5" applyNumberFormat="1" applyFont="1" applyBorder="1" applyAlignment="1">
      <alignment horizontal="center" vertical="top" wrapText="1"/>
    </xf>
    <xf numFmtId="49" fontId="27" fillId="0" borderId="0" xfId="5" applyNumberFormat="1" applyFont="1" applyBorder="1" applyAlignment="1">
      <alignment horizontal="center" vertical="top" wrapText="1"/>
    </xf>
    <xf numFmtId="0" fontId="27" fillId="0" borderId="8" xfId="5" applyFont="1" applyBorder="1" applyAlignment="1">
      <alignment vertical="top" wrapText="1"/>
    </xf>
    <xf numFmtId="3" fontId="27" fillId="0" borderId="0" xfId="5" applyNumberFormat="1" applyFont="1" applyBorder="1" applyAlignment="1">
      <alignment vertical="top" wrapText="1"/>
    </xf>
    <xf numFmtId="3" fontId="27" fillId="0" borderId="8" xfId="5" applyNumberFormat="1" applyFont="1" applyBorder="1" applyAlignment="1">
      <alignment vertical="top" wrapText="1"/>
    </xf>
    <xf numFmtId="0" fontId="27" fillId="0" borderId="0" xfId="0" applyFont="1"/>
    <xf numFmtId="49" fontId="27" fillId="0" borderId="1" xfId="5" applyNumberFormat="1" applyFont="1" applyBorder="1" applyAlignment="1">
      <alignment horizontal="center" vertical="top" wrapText="1"/>
    </xf>
    <xf numFmtId="49" fontId="27" fillId="0" borderId="6" xfId="5" applyNumberFormat="1" applyFont="1" applyBorder="1" applyAlignment="1">
      <alignment horizontal="center" vertical="top" wrapText="1"/>
    </xf>
    <xf numFmtId="0" fontId="27" fillId="0" borderId="1" xfId="5" applyFont="1" applyBorder="1" applyAlignment="1">
      <alignment vertical="top" wrapText="1"/>
    </xf>
    <xf numFmtId="3" fontId="27" fillId="0" borderId="6" xfId="5" applyNumberFormat="1" applyFont="1" applyBorder="1" applyAlignment="1">
      <alignment vertical="top" wrapText="1"/>
    </xf>
    <xf numFmtId="3" fontId="27" fillId="0" borderId="1" xfId="5" applyNumberFormat="1" applyFont="1" applyBorder="1" applyAlignment="1">
      <alignment vertical="top" wrapText="1"/>
    </xf>
    <xf numFmtId="0" fontId="29" fillId="0" borderId="0" xfId="17" applyFont="1" applyAlignment="1">
      <alignment vertical="center"/>
    </xf>
    <xf numFmtId="0" fontId="8" fillId="4" borderId="0" xfId="17" applyFont="1" applyFill="1" applyAlignment="1">
      <alignment vertical="center"/>
    </xf>
    <xf numFmtId="49" fontId="29" fillId="0" borderId="0" xfId="17" applyNumberFormat="1" applyFont="1" applyAlignment="1">
      <alignment horizontal="center" vertical="center" wrapText="1"/>
    </xf>
    <xf numFmtId="49" fontId="30" fillId="0" borderId="0" xfId="17" applyNumberFormat="1" applyFont="1" applyAlignment="1">
      <alignment horizontal="center" vertical="center"/>
    </xf>
    <xf numFmtId="0" fontId="29" fillId="0" borderId="0" xfId="17" applyFont="1" applyFill="1" applyAlignment="1">
      <alignment vertical="center"/>
    </xf>
    <xf numFmtId="0" fontId="8" fillId="0" borderId="0" xfId="17" applyFont="1" applyFill="1" applyAlignment="1">
      <alignment vertical="center"/>
    </xf>
    <xf numFmtId="49" fontId="29" fillId="0" borderId="0" xfId="17" applyNumberFormat="1" applyFont="1" applyFill="1" applyAlignment="1">
      <alignment horizontal="center" vertical="center" wrapText="1"/>
    </xf>
    <xf numFmtId="49" fontId="30" fillId="0" borderId="0" xfId="17" applyNumberFormat="1" applyFont="1" applyFill="1" applyAlignment="1">
      <alignment horizontal="center" vertical="center"/>
    </xf>
    <xf numFmtId="0" fontId="7" fillId="0" borderId="0" xfId="17" applyFont="1" applyFill="1" applyAlignment="1">
      <alignment vertical="center"/>
    </xf>
    <xf numFmtId="3" fontId="7" fillId="0" borderId="0" xfId="17" applyNumberFormat="1" applyFont="1" applyFill="1" applyBorder="1" applyAlignment="1">
      <alignment vertical="center"/>
    </xf>
    <xf numFmtId="49" fontId="7" fillId="0" borderId="0" xfId="17" applyNumberFormat="1" applyFont="1" applyFill="1" applyBorder="1" applyAlignment="1">
      <alignment horizontal="center" vertical="center"/>
    </xf>
    <xf numFmtId="49" fontId="7" fillId="0" borderId="0" xfId="17" applyNumberFormat="1" applyFont="1" applyFill="1" applyBorder="1" applyAlignment="1">
      <alignment horizontal="left" vertical="center"/>
    </xf>
    <xf numFmtId="49" fontId="7" fillId="0" borderId="0" xfId="17" applyNumberFormat="1" applyFont="1" applyFill="1" applyBorder="1" applyAlignment="1">
      <alignment horizontal="right" vertical="center"/>
    </xf>
    <xf numFmtId="3" fontId="10" fillId="0" borderId="0" xfId="17" applyNumberFormat="1" applyFont="1" applyFill="1" applyBorder="1" applyAlignment="1">
      <alignment vertical="center"/>
    </xf>
    <xf numFmtId="49" fontId="31" fillId="0" borderId="0" xfId="17" applyNumberFormat="1" applyFont="1" applyFill="1" applyBorder="1" applyAlignment="1">
      <alignment horizontal="center" vertical="center"/>
    </xf>
    <xf numFmtId="3" fontId="10" fillId="5" borderId="1" xfId="17" applyNumberFormat="1" applyFont="1" applyFill="1" applyBorder="1" applyAlignment="1">
      <alignment vertical="center"/>
    </xf>
    <xf numFmtId="3" fontId="10" fillId="5" borderId="9" xfId="17" applyNumberFormat="1" applyFont="1" applyFill="1" applyBorder="1" applyAlignment="1">
      <alignment vertical="center"/>
    </xf>
    <xf numFmtId="49" fontId="31" fillId="5" borderId="1" xfId="17" applyNumberFormat="1" applyFont="1" applyFill="1" applyBorder="1" applyAlignment="1">
      <alignment horizontal="center" vertical="center"/>
    </xf>
    <xf numFmtId="0" fontId="31" fillId="6" borderId="0" xfId="17" applyFont="1" applyFill="1" applyAlignment="1">
      <alignment vertical="center"/>
    </xf>
    <xf numFmtId="4" fontId="31" fillId="6" borderId="0" xfId="17" applyNumberFormat="1" applyFont="1" applyFill="1" applyAlignment="1">
      <alignment vertical="center"/>
    </xf>
    <xf numFmtId="0" fontId="30" fillId="0" borderId="0" xfId="17" applyFont="1" applyFill="1" applyAlignment="1">
      <alignment vertical="center"/>
    </xf>
    <xf numFmtId="4" fontId="30" fillId="0" borderId="0" xfId="17" applyNumberFormat="1" applyFont="1" applyFill="1" applyAlignment="1">
      <alignment vertical="center"/>
    </xf>
    <xf numFmtId="3" fontId="7" fillId="0" borderId="2" xfId="17" applyNumberFormat="1" applyFont="1" applyFill="1" applyBorder="1" applyAlignment="1">
      <alignment vertical="center"/>
    </xf>
    <xf numFmtId="3" fontId="7" fillId="0" borderId="3" xfId="17" applyNumberFormat="1" applyFont="1" applyFill="1" applyBorder="1" applyAlignment="1">
      <alignment vertical="center"/>
    </xf>
    <xf numFmtId="3" fontId="8" fillId="0" borderId="3" xfId="17" applyNumberFormat="1" applyFont="1" applyFill="1" applyBorder="1" applyAlignment="1">
      <alignment horizontal="right" vertical="center" wrapText="1"/>
    </xf>
    <xf numFmtId="49" fontId="7" fillId="0" borderId="3" xfId="17" applyNumberFormat="1" applyFont="1" applyFill="1" applyBorder="1" applyAlignment="1">
      <alignment horizontal="left" vertical="center" wrapText="1"/>
    </xf>
    <xf numFmtId="49" fontId="7" fillId="0" borderId="12" xfId="17" applyNumberFormat="1" applyFont="1" applyFill="1" applyBorder="1" applyAlignment="1">
      <alignment horizontal="center" vertical="center"/>
    </xf>
    <xf numFmtId="3" fontId="7" fillId="0" borderId="4" xfId="17" applyNumberFormat="1" applyFont="1" applyFill="1" applyBorder="1" applyAlignment="1">
      <alignment horizontal="right" vertical="center" wrapText="1"/>
    </xf>
    <xf numFmtId="3" fontId="7" fillId="0" borderId="15" xfId="17" applyNumberFormat="1" applyFont="1" applyFill="1" applyBorder="1" applyAlignment="1">
      <alignment horizontal="right" vertical="center" wrapText="1"/>
    </xf>
    <xf numFmtId="3" fontId="8" fillId="0" borderId="1" xfId="17" applyNumberFormat="1" applyFont="1" applyFill="1" applyBorder="1" applyAlignment="1">
      <alignment horizontal="right" vertical="center" wrapText="1"/>
    </xf>
    <xf numFmtId="3" fontId="7" fillId="0" borderId="1" xfId="17" applyNumberFormat="1" applyFont="1" applyFill="1" applyBorder="1" applyAlignment="1">
      <alignment horizontal="center" vertical="center" wrapText="1"/>
    </xf>
    <xf numFmtId="3" fontId="7" fillId="0" borderId="1" xfId="17" applyNumberFormat="1" applyFont="1" applyFill="1" applyBorder="1" applyAlignment="1">
      <alignment horizontal="right" vertical="center" wrapText="1"/>
    </xf>
    <xf numFmtId="3" fontId="7" fillId="0" borderId="9" xfId="17" applyNumberFormat="1" applyFont="1" applyFill="1" applyBorder="1" applyAlignment="1">
      <alignment horizontal="right" vertical="center" wrapText="1"/>
    </xf>
    <xf numFmtId="3" fontId="7" fillId="0" borderId="1" xfId="17" applyNumberFormat="1" applyFont="1" applyFill="1" applyBorder="1" applyAlignment="1">
      <alignment vertical="center"/>
    </xf>
    <xf numFmtId="3" fontId="7" fillId="0" borderId="12" xfId="17" applyNumberFormat="1" applyFont="1" applyFill="1" applyBorder="1" applyAlignment="1">
      <alignment vertical="center"/>
    </xf>
    <xf numFmtId="3" fontId="7" fillId="0" borderId="10" xfId="17" applyNumberFormat="1" applyFont="1" applyFill="1" applyBorder="1" applyAlignment="1">
      <alignment vertical="center"/>
    </xf>
    <xf numFmtId="3" fontId="7" fillId="0" borderId="8" xfId="17" applyNumberFormat="1" applyFont="1" applyFill="1" applyBorder="1" applyAlignment="1">
      <alignment vertical="center"/>
    </xf>
    <xf numFmtId="3" fontId="8" fillId="0" borderId="0" xfId="17" applyNumberFormat="1" applyFont="1" applyBorder="1" applyAlignment="1">
      <alignment horizontal="right" vertical="center" wrapText="1"/>
    </xf>
    <xf numFmtId="3" fontId="8" fillId="0" borderId="0" xfId="17" applyNumberFormat="1" applyFont="1" applyFill="1" applyBorder="1" applyAlignment="1">
      <alignment vertical="center" wrapText="1"/>
    </xf>
    <xf numFmtId="3" fontId="7" fillId="0" borderId="3" xfId="17" applyNumberFormat="1" applyFont="1" applyFill="1" applyBorder="1" applyAlignment="1">
      <alignment horizontal="left" vertical="center" wrapText="1"/>
    </xf>
    <xf numFmtId="3" fontId="7" fillId="0" borderId="5" xfId="17" applyNumberFormat="1" applyFont="1" applyFill="1" applyBorder="1" applyAlignment="1">
      <alignment horizontal="right" vertical="center" wrapText="1"/>
    </xf>
    <xf numFmtId="3" fontId="7" fillId="0" borderId="11" xfId="17" applyNumberFormat="1" applyFont="1" applyFill="1" applyBorder="1" applyAlignment="1">
      <alignment horizontal="right" vertical="center" wrapText="1"/>
    </xf>
    <xf numFmtId="3" fontId="7" fillId="0" borderId="6" xfId="17" applyNumberFormat="1" applyFont="1" applyFill="1" applyBorder="1" applyAlignment="1">
      <alignment vertical="center"/>
    </xf>
    <xf numFmtId="3" fontId="7" fillId="0" borderId="9" xfId="17" applyNumberFormat="1" applyFont="1" applyFill="1" applyBorder="1" applyAlignment="1">
      <alignment vertical="center"/>
    </xf>
    <xf numFmtId="3" fontId="7" fillId="0" borderId="7" xfId="17" applyNumberFormat="1" applyFont="1" applyFill="1" applyBorder="1" applyAlignment="1">
      <alignment vertical="center"/>
    </xf>
    <xf numFmtId="3" fontId="7" fillId="0" borderId="6" xfId="17" applyNumberFormat="1" applyFont="1" applyFill="1" applyBorder="1" applyAlignment="1">
      <alignment horizontal="left" vertical="center" wrapText="1"/>
    </xf>
    <xf numFmtId="49" fontId="7" fillId="0" borderId="6" xfId="17" applyNumberFormat="1" applyFont="1" applyFill="1" applyBorder="1" applyAlignment="1">
      <alignment horizontal="left" vertical="center" wrapText="1"/>
    </xf>
    <xf numFmtId="49" fontId="7" fillId="0" borderId="9" xfId="17" applyNumberFormat="1" applyFont="1" applyFill="1" applyBorder="1" applyAlignment="1">
      <alignment horizontal="center" vertical="center"/>
    </xf>
    <xf numFmtId="4" fontId="8" fillId="0" borderId="0" xfId="17" applyNumberFormat="1" applyFont="1" applyFill="1" applyAlignment="1">
      <alignment vertical="center"/>
    </xf>
    <xf numFmtId="3" fontId="29" fillId="0" borderId="0" xfId="17" applyNumberFormat="1" applyFont="1" applyFill="1" applyAlignment="1">
      <alignment vertical="center" wrapText="1"/>
    </xf>
    <xf numFmtId="4" fontId="29" fillId="0" borderId="0" xfId="17" applyNumberFormat="1" applyFont="1" applyFill="1" applyAlignment="1">
      <alignment vertical="center" wrapText="1"/>
    </xf>
    <xf numFmtId="49" fontId="7" fillId="0" borderId="3" xfId="17" applyNumberFormat="1" applyFont="1" applyFill="1" applyBorder="1" applyAlignment="1">
      <alignment horizontal="center" vertical="center" wrapText="1"/>
    </xf>
    <xf numFmtId="49" fontId="7" fillId="0" borderId="12" xfId="17" applyNumberFormat="1" applyFont="1" applyFill="1" applyBorder="1" applyAlignment="1">
      <alignment horizontal="center" vertical="center" wrapText="1"/>
    </xf>
    <xf numFmtId="3" fontId="7" fillId="0" borderId="0" xfId="17" applyNumberFormat="1" applyFont="1" applyAlignment="1">
      <alignment horizontal="center" vertical="center" wrapText="1"/>
    </xf>
    <xf numFmtId="4" fontId="7" fillId="0" borderId="0" xfId="17" applyNumberFormat="1" applyFont="1" applyAlignment="1">
      <alignment horizontal="center" vertical="center" wrapText="1"/>
    </xf>
    <xf numFmtId="3" fontId="8" fillId="0" borderId="8" xfId="17" applyNumberFormat="1" applyFont="1" applyBorder="1" applyAlignment="1">
      <alignment horizontal="right" vertical="center" wrapText="1"/>
    </xf>
    <xf numFmtId="3" fontId="8" fillId="0" borderId="14" xfId="17" applyNumberFormat="1" applyFont="1" applyBorder="1" applyAlignment="1">
      <alignment horizontal="right" vertical="center" wrapText="1"/>
    </xf>
    <xf numFmtId="3" fontId="32" fillId="0" borderId="0" xfId="17" applyNumberFormat="1" applyFont="1" applyBorder="1" applyAlignment="1">
      <alignment vertical="center" wrapText="1"/>
    </xf>
    <xf numFmtId="3" fontId="33" fillId="0" borderId="0" xfId="17" applyNumberFormat="1" applyFont="1" applyBorder="1" applyAlignment="1">
      <alignment horizontal="center" vertical="center" wrapText="1"/>
    </xf>
    <xf numFmtId="49" fontId="30" fillId="0" borderId="13" xfId="17" applyNumberFormat="1" applyFont="1" applyBorder="1" applyAlignment="1">
      <alignment horizontal="center" vertical="center" wrapText="1"/>
    </xf>
    <xf numFmtId="3" fontId="29" fillId="0" borderId="0" xfId="17" applyNumberFormat="1" applyFont="1" applyAlignment="1">
      <alignment vertical="center" wrapText="1"/>
    </xf>
    <xf numFmtId="4" fontId="29" fillId="0" borderId="0" xfId="17" applyNumberFormat="1" applyFont="1" applyAlignment="1">
      <alignment vertical="center" wrapText="1"/>
    </xf>
    <xf numFmtId="3" fontId="8" fillId="5" borderId="1" xfId="17" applyNumberFormat="1" applyFont="1" applyFill="1" applyBorder="1" applyAlignment="1">
      <alignment horizontal="right" vertical="center" wrapText="1"/>
    </xf>
    <xf numFmtId="3" fontId="34" fillId="5" borderId="7" xfId="17" applyNumberFormat="1" applyFont="1" applyFill="1" applyBorder="1" applyAlignment="1">
      <alignment horizontal="center" vertical="center" wrapText="1"/>
    </xf>
    <xf numFmtId="3" fontId="8" fillId="5" borderId="2" xfId="17" applyNumberFormat="1" applyFont="1" applyFill="1" applyBorder="1" applyAlignment="1">
      <alignment horizontal="right" vertical="center" wrapText="1"/>
    </xf>
    <xf numFmtId="49" fontId="7" fillId="0" borderId="6" xfId="17" applyNumberFormat="1" applyFont="1" applyFill="1" applyBorder="1" applyAlignment="1">
      <alignment vertical="center"/>
    </xf>
    <xf numFmtId="49" fontId="7" fillId="0" borderId="1" xfId="17" applyNumberFormat="1" applyFont="1" applyFill="1" applyBorder="1" applyAlignment="1">
      <alignment vertical="center"/>
    </xf>
    <xf numFmtId="49" fontId="7" fillId="0" borderId="9" xfId="17" applyNumberFormat="1" applyFont="1" applyFill="1" applyBorder="1" applyAlignment="1">
      <alignment vertical="center"/>
    </xf>
    <xf numFmtId="49" fontId="7" fillId="0" borderId="1" xfId="17" applyNumberFormat="1" applyFont="1" applyFill="1" applyBorder="1" applyAlignment="1">
      <alignment horizontal="center" vertical="center"/>
    </xf>
    <xf numFmtId="49" fontId="7" fillId="0" borderId="6" xfId="17" applyNumberFormat="1" applyFont="1" applyFill="1" applyBorder="1" applyAlignment="1">
      <alignment horizontal="center" vertical="center"/>
    </xf>
    <xf numFmtId="49" fontId="7" fillId="0" borderId="3" xfId="17" applyNumberFormat="1" applyFont="1" applyFill="1" applyBorder="1" applyAlignment="1">
      <alignment horizontal="center" vertical="center"/>
    </xf>
    <xf numFmtId="0" fontId="30" fillId="0" borderId="8" xfId="17" applyFont="1" applyFill="1" applyBorder="1" applyAlignment="1">
      <alignment vertical="center"/>
    </xf>
    <xf numFmtId="49" fontId="7" fillId="0" borderId="7" xfId="17" applyNumberFormat="1" applyFont="1" applyFill="1" applyBorder="1" applyAlignment="1">
      <alignment vertical="center"/>
    </xf>
    <xf numFmtId="3" fontId="8" fillId="0" borderId="6" xfId="17" applyNumberFormat="1" applyFont="1" applyFill="1" applyBorder="1" applyAlignment="1">
      <alignment horizontal="right" vertical="center" wrapText="1"/>
    </xf>
    <xf numFmtId="3" fontId="7" fillId="0" borderId="6" xfId="17" applyNumberFormat="1" applyFont="1" applyFill="1" applyBorder="1" applyAlignment="1">
      <alignment horizontal="right" vertical="center" wrapText="1"/>
    </xf>
    <xf numFmtId="3" fontId="7" fillId="0" borderId="7" xfId="17" applyNumberFormat="1" applyFont="1" applyFill="1" applyBorder="1" applyAlignment="1">
      <alignment horizontal="right" vertical="center" wrapText="1"/>
    </xf>
    <xf numFmtId="3" fontId="8" fillId="5" borderId="9" xfId="17" applyNumberFormat="1" applyFont="1" applyFill="1" applyBorder="1" applyAlignment="1">
      <alignment horizontal="right" vertical="center" wrapText="1"/>
    </xf>
    <xf numFmtId="3" fontId="34" fillId="5" borderId="1" xfId="17" applyNumberFormat="1" applyFont="1" applyFill="1" applyBorder="1" applyAlignment="1">
      <alignment horizontal="center" vertical="center" wrapText="1"/>
    </xf>
    <xf numFmtId="3" fontId="8" fillId="5" borderId="10" xfId="17" applyNumberFormat="1" applyFont="1" applyFill="1" applyBorder="1" applyAlignment="1">
      <alignment horizontal="right" vertical="center" wrapText="1"/>
    </xf>
    <xf numFmtId="49" fontId="35" fillId="0" borderId="0" xfId="17" applyNumberFormat="1" applyFont="1" applyAlignment="1">
      <alignment horizontal="center" vertical="center" wrapText="1"/>
    </xf>
    <xf numFmtId="49" fontId="35" fillId="0" borderId="2" xfId="17" applyNumberFormat="1" applyFont="1" applyFill="1" applyBorder="1" applyAlignment="1">
      <alignment horizontal="center" vertical="center" wrapText="1"/>
    </xf>
    <xf numFmtId="49" fontId="35" fillId="0" borderId="3" xfId="17" applyNumberFormat="1" applyFont="1" applyFill="1" applyBorder="1" applyAlignment="1">
      <alignment horizontal="center" vertical="center" wrapText="1"/>
    </xf>
    <xf numFmtId="49" fontId="36" fillId="0" borderId="3" xfId="17" applyNumberFormat="1" applyFont="1" applyFill="1" applyBorder="1" applyAlignment="1">
      <alignment horizontal="center" vertical="center" wrapText="1"/>
    </xf>
    <xf numFmtId="49" fontId="37" fillId="0" borderId="3" xfId="17" applyNumberFormat="1" applyFont="1" applyFill="1" applyBorder="1" applyAlignment="1">
      <alignment horizontal="center" vertical="center" wrapText="1"/>
    </xf>
    <xf numFmtId="49" fontId="35" fillId="0" borderId="12" xfId="17" applyNumberFormat="1" applyFont="1" applyFill="1" applyBorder="1" applyAlignment="1">
      <alignment horizontal="center" vertical="center" wrapText="1"/>
    </xf>
    <xf numFmtId="49" fontId="35" fillId="0" borderId="0" xfId="17" applyNumberFormat="1" applyFont="1" applyFill="1" applyAlignment="1">
      <alignment horizontal="center" vertical="center" wrapText="1"/>
    </xf>
    <xf numFmtId="49" fontId="35" fillId="0" borderId="1" xfId="17" applyNumberFormat="1" applyFont="1" applyFill="1" applyBorder="1" applyAlignment="1">
      <alignment horizontal="center" vertical="center" wrapText="1"/>
    </xf>
    <xf numFmtId="49" fontId="35" fillId="0" borderId="9" xfId="17" applyNumberFormat="1" applyFont="1" applyFill="1" applyBorder="1" applyAlignment="1">
      <alignment horizontal="center" vertical="center" wrapText="1"/>
    </xf>
    <xf numFmtId="49" fontId="35" fillId="0" borderId="7" xfId="17" applyNumberFormat="1" applyFont="1" applyFill="1" applyBorder="1" applyAlignment="1">
      <alignment horizontal="center" vertical="center" wrapText="1"/>
    </xf>
    <xf numFmtId="49" fontId="9" fillId="0" borderId="9" xfId="17" applyNumberFormat="1" applyFont="1" applyFill="1" applyBorder="1" applyAlignment="1">
      <alignment horizontal="center" vertical="center" wrapText="1"/>
    </xf>
    <xf numFmtId="2" fontId="30" fillId="0" borderId="0" xfId="17" applyNumberFormat="1" applyFont="1" applyFill="1" applyAlignment="1">
      <alignment horizontal="center" vertical="center" wrapText="1"/>
    </xf>
    <xf numFmtId="2" fontId="7" fillId="0" borderId="7" xfId="17" applyNumberFormat="1" applyFont="1" applyFill="1" applyBorder="1" applyAlignment="1">
      <alignment horizontal="center" vertical="center" wrapText="1"/>
    </xf>
    <xf numFmtId="2" fontId="7" fillId="0" borderId="1" xfId="17" applyNumberFormat="1" applyFont="1" applyFill="1" applyBorder="1" applyAlignment="1">
      <alignment horizontal="center" vertical="center" wrapText="1"/>
    </xf>
    <xf numFmtId="2" fontId="7" fillId="0" borderId="0" xfId="17" applyNumberFormat="1" applyFont="1" applyFill="1" applyBorder="1" applyAlignment="1">
      <alignment horizontal="center" vertical="center"/>
    </xf>
    <xf numFmtId="0" fontId="7" fillId="0" borderId="0" xfId="17" applyFont="1" applyFill="1" applyBorder="1" applyAlignment="1">
      <alignment horizontal="center" vertical="center"/>
    </xf>
    <xf numFmtId="0" fontId="7" fillId="0" borderId="0" xfId="17" applyNumberFormat="1" applyFont="1" applyFill="1" applyAlignment="1">
      <alignment vertical="center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3" fontId="26" fillId="0" borderId="4" xfId="18" applyNumberFormat="1" applyFont="1" applyBorder="1" applyAlignment="1">
      <alignment vertical="top"/>
    </xf>
    <xf numFmtId="0" fontId="26" fillId="0" borderId="4" xfId="18" applyFont="1" applyBorder="1" applyAlignment="1">
      <alignment vertical="top" wrapText="1"/>
    </xf>
    <xf numFmtId="49" fontId="26" fillId="0" borderId="4" xfId="18" applyNumberFormat="1" applyFont="1" applyBorder="1" applyAlignment="1">
      <alignment horizontal="center" vertical="top"/>
    </xf>
    <xf numFmtId="0" fontId="26" fillId="0" borderId="4" xfId="18" applyFont="1" applyBorder="1" applyAlignment="1">
      <alignment horizontal="center" vertical="top"/>
    </xf>
    <xf numFmtId="3" fontId="26" fillId="0" borderId="8" xfId="18" applyNumberFormat="1" applyFont="1" applyBorder="1" applyAlignment="1">
      <alignment vertical="top"/>
    </xf>
    <xf numFmtId="0" fontId="26" fillId="0" borderId="8" xfId="18" applyFont="1" applyBorder="1" applyAlignment="1">
      <alignment vertical="top" wrapText="1"/>
    </xf>
    <xf numFmtId="49" fontId="26" fillId="0" borderId="8" xfId="18" applyNumberFormat="1" applyFont="1" applyBorder="1" applyAlignment="1">
      <alignment horizontal="center" vertical="top"/>
    </xf>
    <xf numFmtId="0" fontId="26" fillId="0" borderId="8" xfId="18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3" fontId="27" fillId="0" borderId="8" xfId="18" applyNumberFormat="1" applyFont="1" applyBorder="1" applyAlignment="1">
      <alignment vertical="top"/>
    </xf>
    <xf numFmtId="0" fontId="27" fillId="0" borderId="8" xfId="18" applyFont="1" applyBorder="1" applyAlignment="1">
      <alignment vertical="top" wrapText="1"/>
    </xf>
    <xf numFmtId="49" fontId="27" fillId="0" borderId="8" xfId="18" applyNumberFormat="1" applyFont="1" applyBorder="1" applyAlignment="1">
      <alignment horizontal="center" vertical="top"/>
    </xf>
    <xf numFmtId="0" fontId="27" fillId="0" borderId="8" xfId="18" applyFont="1" applyBorder="1" applyAlignment="1">
      <alignment horizontal="center" vertical="top"/>
    </xf>
    <xf numFmtId="3" fontId="27" fillId="0" borderId="1" xfId="18" applyNumberFormat="1" applyFont="1" applyBorder="1" applyAlignment="1">
      <alignment vertical="top"/>
    </xf>
    <xf numFmtId="0" fontId="27" fillId="0" borderId="1" xfId="18" applyFont="1" applyBorder="1" applyAlignment="1">
      <alignment vertical="top" wrapText="1"/>
    </xf>
    <xf numFmtId="49" fontId="27" fillId="0" borderId="1" xfId="18" applyNumberFormat="1" applyFont="1" applyBorder="1" applyAlignment="1">
      <alignment horizontal="center" vertical="top"/>
    </xf>
    <xf numFmtId="0" fontId="27" fillId="0" borderId="1" xfId="18" applyFont="1" applyBorder="1" applyAlignment="1">
      <alignment horizontal="center" vertical="top"/>
    </xf>
    <xf numFmtId="3" fontId="27" fillId="0" borderId="2" xfId="18" applyNumberFormat="1" applyFont="1" applyBorder="1" applyAlignment="1">
      <alignment vertical="top"/>
    </xf>
    <xf numFmtId="0" fontId="27" fillId="0" borderId="2" xfId="18" applyFont="1" applyBorder="1" applyAlignment="1">
      <alignment vertical="top" wrapText="1"/>
    </xf>
    <xf numFmtId="49" fontId="27" fillId="0" borderId="2" xfId="18" applyNumberFormat="1" applyFont="1" applyBorder="1" applyAlignment="1">
      <alignment horizontal="center" vertical="top"/>
    </xf>
    <xf numFmtId="0" fontId="27" fillId="0" borderId="2" xfId="18" applyFont="1" applyBorder="1" applyAlignment="1">
      <alignment horizontal="center" vertical="top"/>
    </xf>
    <xf numFmtId="3" fontId="26" fillId="0" borderId="2" xfId="18" applyNumberFormat="1" applyFont="1" applyBorder="1" applyAlignment="1">
      <alignment vertical="top"/>
    </xf>
    <xf numFmtId="0" fontId="26" fillId="0" borderId="2" xfId="18" applyFont="1" applyBorder="1" applyAlignment="1">
      <alignment vertical="top" wrapText="1"/>
    </xf>
    <xf numFmtId="49" fontId="26" fillId="0" borderId="2" xfId="18" applyNumberFormat="1" applyFont="1" applyBorder="1" applyAlignment="1">
      <alignment horizontal="center" vertical="top"/>
    </xf>
    <xf numFmtId="0" fontId="26" fillId="0" borderId="2" xfId="18" applyFont="1" applyBorder="1" applyAlignment="1">
      <alignment horizontal="center" vertical="top"/>
    </xf>
    <xf numFmtId="3" fontId="27" fillId="0" borderId="4" xfId="18" applyNumberFormat="1" applyFont="1" applyBorder="1" applyAlignment="1">
      <alignment vertical="top"/>
    </xf>
    <xf numFmtId="0" fontId="27" fillId="0" borderId="4" xfId="18" applyFont="1" applyBorder="1" applyAlignment="1">
      <alignment vertical="top" wrapText="1"/>
    </xf>
    <xf numFmtId="49" fontId="27" fillId="0" borderId="4" xfId="18" applyNumberFormat="1" applyFont="1" applyBorder="1" applyAlignment="1">
      <alignment horizontal="center" vertical="top"/>
    </xf>
    <xf numFmtId="0" fontId="27" fillId="0" borderId="4" xfId="18" applyFont="1" applyBorder="1" applyAlignment="1">
      <alignment horizontal="center" vertical="top"/>
    </xf>
    <xf numFmtId="3" fontId="11" fillId="0" borderId="0" xfId="0" applyNumberFormat="1" applyFont="1" applyAlignment="1">
      <alignment vertical="top" wrapText="1"/>
    </xf>
    <xf numFmtId="0" fontId="27" fillId="0" borderId="1" xfId="18" applyFont="1" applyBorder="1" applyAlignment="1">
      <alignment vertical="top"/>
    </xf>
    <xf numFmtId="0" fontId="5" fillId="0" borderId="0" xfId="0" applyFont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/>
    <xf numFmtId="0" fontId="15" fillId="0" borderId="0" xfId="19" applyFont="1" applyFill="1"/>
    <xf numFmtId="3" fontId="15" fillId="0" borderId="0" xfId="19" applyNumberFormat="1" applyFont="1" applyFill="1" applyAlignment="1">
      <alignment wrapText="1"/>
    </xf>
    <xf numFmtId="0" fontId="39" fillId="0" borderId="0" xfId="19" applyFont="1" applyFill="1" applyAlignment="1">
      <alignment wrapText="1"/>
    </xf>
    <xf numFmtId="0" fontId="15" fillId="0" borderId="0" xfId="19" applyFont="1" applyFill="1" applyAlignment="1">
      <alignment horizontal="center" wrapText="1"/>
    </xf>
    <xf numFmtId="0" fontId="15" fillId="0" borderId="0" xfId="19" applyFont="1" applyFill="1" applyAlignment="1">
      <alignment wrapText="1"/>
    </xf>
    <xf numFmtId="0" fontId="15" fillId="0" borderId="0" xfId="19" applyFont="1" applyFill="1" applyAlignment="1">
      <alignment horizontal="center"/>
    </xf>
    <xf numFmtId="0" fontId="7" fillId="0" borderId="0" xfId="19" applyFont="1" applyFill="1" applyAlignment="1">
      <alignment horizontal="center" wrapText="1"/>
    </xf>
    <xf numFmtId="0" fontId="15" fillId="0" borderId="0" xfId="19" applyFont="1" applyFill="1" applyAlignment="1">
      <alignment horizontal="left"/>
    </xf>
    <xf numFmtId="0" fontId="40" fillId="0" borderId="0" xfId="19" applyFont="1" applyFill="1" applyAlignment="1">
      <alignment vertical="center" wrapText="1"/>
    </xf>
    <xf numFmtId="0" fontId="40" fillId="0" borderId="0" xfId="19" applyFont="1" applyFill="1" applyAlignment="1">
      <alignment horizontal="center" vertical="center"/>
    </xf>
    <xf numFmtId="0" fontId="40" fillId="0" borderId="0" xfId="19" applyFont="1" applyFill="1" applyAlignment="1">
      <alignment horizontal="left" vertical="center"/>
    </xf>
    <xf numFmtId="0" fontId="40" fillId="0" borderId="0" xfId="19" applyFont="1" applyFill="1" applyAlignment="1">
      <alignment wrapText="1"/>
    </xf>
    <xf numFmtId="0" fontId="41" fillId="0" borderId="0" xfId="19" applyFont="1" applyFill="1" applyAlignment="1">
      <alignment horizontal="center"/>
    </xf>
    <xf numFmtId="0" fontId="41" fillId="0" borderId="0" xfId="19" applyFont="1" applyFill="1" applyAlignment="1">
      <alignment horizontal="left"/>
    </xf>
    <xf numFmtId="0" fontId="15" fillId="0" borderId="0" xfId="19" applyFont="1" applyFill="1" applyAlignment="1">
      <alignment vertical="center"/>
    </xf>
    <xf numFmtId="3" fontId="15" fillId="0" borderId="0" xfId="19" applyNumberFormat="1" applyFont="1" applyFill="1" applyBorder="1" applyAlignment="1">
      <alignment vertical="center" wrapText="1"/>
    </xf>
    <xf numFmtId="0" fontId="39" fillId="0" borderId="0" xfId="19" applyFont="1" applyFill="1" applyBorder="1" applyAlignment="1">
      <alignment vertical="center" wrapText="1"/>
    </xf>
    <xf numFmtId="0" fontId="15" fillId="0" borderId="0" xfId="19" applyFont="1" applyFill="1" applyBorder="1" applyAlignment="1">
      <alignment horizontal="center" vertical="center" wrapText="1"/>
    </xf>
    <xf numFmtId="0" fontId="15" fillId="0" borderId="0" xfId="19" applyFont="1" applyFill="1" applyBorder="1" applyAlignment="1">
      <alignment vertical="center" wrapText="1"/>
    </xf>
    <xf numFmtId="0" fontId="15" fillId="0" borderId="0" xfId="19" applyFont="1" applyFill="1" applyBorder="1" applyAlignment="1">
      <alignment horizontal="center" vertical="center"/>
    </xf>
    <xf numFmtId="0" fontId="42" fillId="0" borderId="0" xfId="19" applyFont="1" applyFill="1" applyAlignment="1">
      <alignment horizontal="center" vertical="center"/>
    </xf>
    <xf numFmtId="3" fontId="43" fillId="0" borderId="1" xfId="19" applyNumberFormat="1" applyFont="1" applyFill="1" applyBorder="1" applyAlignment="1">
      <alignment horizontal="right" vertical="center" wrapText="1"/>
    </xf>
    <xf numFmtId="0" fontId="42" fillId="0" borderId="1" xfId="19" applyFont="1" applyFill="1" applyBorder="1" applyAlignment="1">
      <alignment horizontal="center" vertical="center" wrapText="1"/>
    </xf>
    <xf numFmtId="0" fontId="44" fillId="0" borderId="0" xfId="19" applyFont="1" applyFill="1" applyAlignment="1">
      <alignment vertical="center"/>
    </xf>
    <xf numFmtId="3" fontId="45" fillId="0" borderId="10" xfId="19" applyNumberFormat="1" applyFont="1" applyFill="1" applyBorder="1" applyAlignment="1">
      <alignment vertical="center" wrapText="1"/>
    </xf>
    <xf numFmtId="3" fontId="45" fillId="0" borderId="3" xfId="19" applyNumberFormat="1" applyFont="1" applyFill="1" applyBorder="1" applyAlignment="1">
      <alignment vertical="center" wrapText="1"/>
    </xf>
    <xf numFmtId="0" fontId="46" fillId="0" borderId="3" xfId="19" applyFont="1" applyFill="1" applyBorder="1" applyAlignment="1">
      <alignment vertical="center" wrapText="1"/>
    </xf>
    <xf numFmtId="49" fontId="47" fillId="0" borderId="3" xfId="19" applyNumberFormat="1" applyFont="1" applyFill="1" applyBorder="1" applyAlignment="1">
      <alignment horizontal="center" vertical="center"/>
    </xf>
    <xf numFmtId="49" fontId="47" fillId="0" borderId="3" xfId="19" applyNumberFormat="1" applyFont="1" applyFill="1" applyBorder="1" applyAlignment="1">
      <alignment horizontal="left" vertical="center"/>
    </xf>
    <xf numFmtId="49" fontId="47" fillId="0" borderId="12" xfId="19" applyNumberFormat="1" applyFont="1" applyFill="1" applyBorder="1" applyAlignment="1">
      <alignment horizontal="left" vertical="center"/>
    </xf>
    <xf numFmtId="0" fontId="15" fillId="0" borderId="0" xfId="19" applyFont="1" applyFill="1" applyAlignment="1">
      <alignment vertical="top"/>
    </xf>
    <xf numFmtId="3" fontId="45" fillId="0" borderId="1" xfId="19" applyNumberFormat="1" applyFont="1" applyFill="1" applyBorder="1" applyAlignment="1">
      <alignment vertical="center" wrapText="1"/>
    </xf>
    <xf numFmtId="3" fontId="5" fillId="0" borderId="1" xfId="19" applyNumberFormat="1" applyFont="1" applyFill="1" applyBorder="1" applyAlignment="1">
      <alignment vertical="center" wrapText="1"/>
    </xf>
    <xf numFmtId="0" fontId="45" fillId="0" borderId="1" xfId="19" applyFont="1" applyFill="1" applyBorder="1" applyAlignment="1">
      <alignment horizontal="center" vertical="center" wrapText="1"/>
    </xf>
    <xf numFmtId="0" fontId="48" fillId="0" borderId="1" xfId="19" applyFont="1" applyFill="1" applyBorder="1" applyAlignment="1">
      <alignment horizontal="center" vertical="center" wrapText="1"/>
    </xf>
    <xf numFmtId="3" fontId="45" fillId="0" borderId="2" xfId="19" applyNumberFormat="1" applyFont="1" applyFill="1" applyBorder="1" applyAlignment="1">
      <alignment vertical="center" wrapText="1"/>
    </xf>
    <xf numFmtId="3" fontId="5" fillId="0" borderId="2" xfId="19" applyNumberFormat="1" applyFont="1" applyFill="1" applyBorder="1" applyAlignment="1">
      <alignment vertical="center" wrapText="1"/>
    </xf>
    <xf numFmtId="0" fontId="26" fillId="0" borderId="14" xfId="20" applyFont="1" applyFill="1" applyBorder="1" applyAlignment="1">
      <alignment horizontal="center" vertical="center" wrapText="1"/>
    </xf>
    <xf numFmtId="0" fontId="5" fillId="0" borderId="7" xfId="19" applyFont="1" applyFill="1" applyBorder="1" applyAlignment="1">
      <alignment horizontal="center" vertical="center" wrapText="1"/>
    </xf>
    <xf numFmtId="3" fontId="5" fillId="0" borderId="2" xfId="19" applyNumberFormat="1" applyFont="1" applyFill="1" applyBorder="1" applyAlignment="1">
      <alignment horizontal="center" vertical="center" wrapText="1"/>
    </xf>
    <xf numFmtId="0" fontId="45" fillId="0" borderId="7" xfId="19" applyFont="1" applyFill="1" applyBorder="1" applyAlignment="1">
      <alignment horizontal="center" vertical="center" wrapText="1"/>
    </xf>
    <xf numFmtId="3" fontId="5" fillId="0" borderId="1" xfId="19" applyNumberFormat="1" applyFont="1" applyFill="1" applyBorder="1" applyAlignment="1">
      <alignment horizontal="center" vertical="center" wrapText="1"/>
    </xf>
    <xf numFmtId="0" fontId="26" fillId="0" borderId="4" xfId="20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center" vertical="center" wrapText="1"/>
    </xf>
    <xf numFmtId="3" fontId="45" fillId="0" borderId="4" xfId="19" applyNumberFormat="1" applyFont="1" applyFill="1" applyBorder="1" applyAlignment="1">
      <alignment vertical="center" wrapText="1"/>
    </xf>
    <xf numFmtId="3" fontId="5" fillId="0" borderId="4" xfId="19" applyNumberFormat="1" applyFont="1" applyFill="1" applyBorder="1" applyAlignment="1">
      <alignment vertical="center" wrapText="1"/>
    </xf>
    <xf numFmtId="0" fontId="5" fillId="0" borderId="11" xfId="19" applyFont="1" applyFill="1" applyBorder="1" applyAlignment="1">
      <alignment horizontal="center" vertical="center" wrapText="1"/>
    </xf>
    <xf numFmtId="0" fontId="48" fillId="0" borderId="7" xfId="19" applyFont="1" applyFill="1" applyBorder="1" applyAlignment="1">
      <alignment horizontal="center" vertical="center" wrapText="1"/>
    </xf>
    <xf numFmtId="0" fontId="45" fillId="0" borderId="4" xfId="19" applyFont="1" applyFill="1" applyBorder="1" applyAlignment="1">
      <alignment horizontal="center" vertical="center" wrapText="1"/>
    </xf>
    <xf numFmtId="3" fontId="45" fillId="0" borderId="7" xfId="19" applyNumberFormat="1" applyFont="1" applyFill="1" applyBorder="1" applyAlignment="1">
      <alignment vertical="center" wrapText="1"/>
    </xf>
    <xf numFmtId="3" fontId="45" fillId="0" borderId="6" xfId="19" applyNumberFormat="1" applyFont="1" applyFill="1" applyBorder="1" applyAlignment="1">
      <alignment vertical="center" wrapText="1"/>
    </xf>
    <xf numFmtId="0" fontId="46" fillId="0" borderId="6" xfId="19" applyFont="1" applyFill="1" applyBorder="1" applyAlignment="1">
      <alignment vertical="center" wrapText="1"/>
    </xf>
    <xf numFmtId="49" fontId="47" fillId="0" borderId="6" xfId="19" applyNumberFormat="1" applyFont="1" applyFill="1" applyBorder="1" applyAlignment="1">
      <alignment horizontal="center" vertical="center"/>
    </xf>
    <xf numFmtId="49" fontId="47" fillId="0" borderId="6" xfId="19" applyNumberFormat="1" applyFont="1" applyFill="1" applyBorder="1" applyAlignment="1">
      <alignment horizontal="left" vertical="center"/>
    </xf>
    <xf numFmtId="49" fontId="47" fillId="0" borderId="9" xfId="19" applyNumberFormat="1" applyFont="1" applyFill="1" applyBorder="1" applyAlignment="1">
      <alignment horizontal="left" vertical="center"/>
    </xf>
    <xf numFmtId="0" fontId="51" fillId="0" borderId="0" xfId="19" applyFont="1" applyFill="1" applyAlignment="1">
      <alignment vertical="center"/>
    </xf>
    <xf numFmtId="3" fontId="52" fillId="0" borderId="1" xfId="19" applyNumberFormat="1" applyFont="1" applyFill="1" applyBorder="1" applyAlignment="1">
      <alignment vertical="center" wrapText="1"/>
    </xf>
    <xf numFmtId="49" fontId="49" fillId="0" borderId="1" xfId="19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3" fontId="53" fillId="0" borderId="1" xfId="19" applyNumberFormat="1" applyFont="1" applyFill="1" applyBorder="1" applyAlignment="1">
      <alignment vertical="center" wrapText="1"/>
    </xf>
    <xf numFmtId="3" fontId="54" fillId="0" borderId="1" xfId="19" applyNumberFormat="1" applyFont="1" applyFill="1" applyBorder="1" applyAlignment="1">
      <alignment vertical="center" wrapText="1"/>
    </xf>
    <xf numFmtId="49" fontId="55" fillId="0" borderId="1" xfId="19" applyNumberFormat="1" applyFont="1" applyFill="1" applyBorder="1" applyAlignment="1">
      <alignment horizontal="center" vertical="center"/>
    </xf>
    <xf numFmtId="0" fontId="45" fillId="0" borderId="8" xfId="19" applyFont="1" applyFill="1" applyBorder="1" applyAlignment="1">
      <alignment horizontal="center" vertical="center" wrapText="1"/>
    </xf>
    <xf numFmtId="0" fontId="45" fillId="0" borderId="2" xfId="19" applyFont="1" applyFill="1" applyBorder="1" applyAlignment="1">
      <alignment horizontal="center" vertical="center" wrapText="1"/>
    </xf>
    <xf numFmtId="0" fontId="45" fillId="0" borderId="5" xfId="19" applyFont="1" applyFill="1" applyBorder="1" applyAlignment="1">
      <alignment horizontal="center" vertical="center" wrapText="1"/>
    </xf>
    <xf numFmtId="0" fontId="45" fillId="0" borderId="14" xfId="19" applyFont="1" applyFill="1" applyBorder="1" applyAlignment="1">
      <alignment horizontal="center" vertical="center" wrapText="1"/>
    </xf>
    <xf numFmtId="0" fontId="45" fillId="0" borderId="8" xfId="19" applyFont="1" applyFill="1" applyBorder="1" applyAlignment="1">
      <alignment horizontal="center" vertical="top" wrapText="1"/>
    </xf>
    <xf numFmtId="0" fontId="45" fillId="0" borderId="2" xfId="19" applyFont="1" applyFill="1" applyBorder="1" applyAlignment="1">
      <alignment horizontal="center" vertical="top" wrapText="1"/>
    </xf>
    <xf numFmtId="0" fontId="45" fillId="0" borderId="4" xfId="19" applyFont="1" applyFill="1" applyBorder="1" applyAlignment="1">
      <alignment horizontal="center" vertical="top" wrapText="1"/>
    </xf>
    <xf numFmtId="0" fontId="26" fillId="0" borderId="11" xfId="20" applyFont="1" applyFill="1" applyBorder="1" applyAlignment="1">
      <alignment horizontal="center" vertical="center" wrapText="1"/>
    </xf>
    <xf numFmtId="0" fontId="5" fillId="0" borderId="2" xfId="19" applyFont="1" applyFill="1" applyBorder="1" applyAlignment="1">
      <alignment horizontal="center" vertical="center" wrapText="1"/>
    </xf>
    <xf numFmtId="0" fontId="56" fillId="0" borderId="0" xfId="19" applyFont="1" applyFill="1" applyAlignment="1">
      <alignment horizontal="center"/>
    </xf>
    <xf numFmtId="3" fontId="56" fillId="0" borderId="7" xfId="19" applyNumberFormat="1" applyFont="1" applyFill="1" applyBorder="1" applyAlignment="1">
      <alignment horizontal="center" wrapText="1"/>
    </xf>
    <xf numFmtId="3" fontId="56" fillId="0" borderId="6" xfId="19" applyNumberFormat="1" applyFont="1" applyFill="1" applyBorder="1" applyAlignment="1">
      <alignment horizontal="center" wrapText="1"/>
    </xf>
    <xf numFmtId="0" fontId="57" fillId="0" borderId="6" xfId="19" applyFont="1" applyFill="1" applyBorder="1" applyAlignment="1">
      <alignment horizontal="center" wrapText="1"/>
    </xf>
    <xf numFmtId="0" fontId="56" fillId="0" borderId="6" xfId="19" applyFont="1" applyFill="1" applyBorder="1" applyAlignment="1">
      <alignment horizontal="center" wrapText="1"/>
    </xf>
    <xf numFmtId="0" fontId="56" fillId="0" borderId="6" xfId="19" applyFont="1" applyFill="1" applyBorder="1" applyAlignment="1">
      <alignment horizontal="center"/>
    </xf>
    <xf numFmtId="0" fontId="56" fillId="0" borderId="9" xfId="19" applyFont="1" applyFill="1" applyBorder="1" applyAlignment="1">
      <alignment horizontal="center"/>
    </xf>
    <xf numFmtId="0" fontId="42" fillId="0" borderId="0" xfId="19" applyFont="1" applyFill="1" applyAlignment="1">
      <alignment vertical="center"/>
    </xf>
    <xf numFmtId="3" fontId="42" fillId="0" borderId="1" xfId="19" applyNumberFormat="1" applyFont="1" applyFill="1" applyBorder="1" applyAlignment="1">
      <alignment vertical="center"/>
    </xf>
    <xf numFmtId="0" fontId="42" fillId="0" borderId="1" xfId="19" applyFont="1" applyFill="1" applyBorder="1" applyAlignment="1">
      <alignment horizontal="center" vertical="center"/>
    </xf>
    <xf numFmtId="3" fontId="56" fillId="0" borderId="10" xfId="19" applyNumberFormat="1" applyFont="1" applyFill="1" applyBorder="1" applyAlignment="1">
      <alignment horizontal="center" wrapText="1"/>
    </xf>
    <xf numFmtId="3" fontId="56" fillId="0" borderId="3" xfId="19" applyNumberFormat="1" applyFont="1" applyFill="1" applyBorder="1" applyAlignment="1">
      <alignment horizontal="center" wrapText="1"/>
    </xf>
    <xf numFmtId="0" fontId="57" fillId="0" borderId="3" xfId="19" applyFont="1" applyFill="1" applyBorder="1" applyAlignment="1">
      <alignment horizontal="center" wrapText="1"/>
    </xf>
    <xf numFmtId="0" fontId="56" fillId="0" borderId="3" xfId="19" applyFont="1" applyFill="1" applyBorder="1" applyAlignment="1">
      <alignment horizontal="center" wrapText="1"/>
    </xf>
    <xf numFmtId="0" fontId="56" fillId="0" borderId="3" xfId="19" applyFont="1" applyFill="1" applyBorder="1" applyAlignment="1">
      <alignment horizontal="left" wrapText="1"/>
    </xf>
    <xf numFmtId="0" fontId="56" fillId="0" borderId="3" xfId="19" applyFont="1" applyFill="1" applyBorder="1" applyAlignment="1">
      <alignment horizontal="center"/>
    </xf>
    <xf numFmtId="0" fontId="56" fillId="0" borderId="12" xfId="19" applyFont="1" applyFill="1" applyBorder="1" applyAlignment="1">
      <alignment horizontal="center"/>
    </xf>
    <xf numFmtId="0" fontId="18" fillId="0" borderId="0" xfId="19" applyFont="1" applyFill="1" applyAlignment="1">
      <alignment vertical="center"/>
    </xf>
    <xf numFmtId="3" fontId="58" fillId="0" borderId="1" xfId="19" applyNumberFormat="1" applyFont="1" applyFill="1" applyBorder="1" applyAlignment="1">
      <alignment vertical="center" wrapText="1"/>
    </xf>
    <xf numFmtId="3" fontId="11" fillId="0" borderId="1" xfId="19" applyNumberFormat="1" applyFont="1" applyFill="1" applyBorder="1" applyAlignment="1">
      <alignment vertical="center" wrapText="1"/>
    </xf>
    <xf numFmtId="0" fontId="58" fillId="0" borderId="1" xfId="19" applyFont="1" applyFill="1" applyBorder="1" applyAlignment="1">
      <alignment horizontal="center" vertical="center" wrapText="1"/>
    </xf>
    <xf numFmtId="0" fontId="19" fillId="0" borderId="0" xfId="19" applyFont="1" applyFill="1" applyAlignment="1">
      <alignment vertical="center"/>
    </xf>
    <xf numFmtId="3" fontId="59" fillId="0" borderId="1" xfId="19" applyNumberFormat="1" applyFont="1" applyFill="1" applyBorder="1" applyAlignment="1">
      <alignment vertical="center" wrapText="1"/>
    </xf>
    <xf numFmtId="3" fontId="12" fillId="0" borderId="1" xfId="19" applyNumberFormat="1" applyFont="1" applyFill="1" applyBorder="1" applyAlignment="1">
      <alignment vertical="center" wrapText="1"/>
    </xf>
    <xf numFmtId="0" fontId="59" fillId="0" borderId="1" xfId="19" applyFont="1" applyFill="1" applyBorder="1" applyAlignment="1">
      <alignment horizontal="center" vertical="center" wrapText="1"/>
    </xf>
    <xf numFmtId="0" fontId="60" fillId="0" borderId="0" xfId="19" applyFont="1" applyFill="1" applyAlignment="1">
      <alignment vertical="center"/>
    </xf>
    <xf numFmtId="3" fontId="61" fillId="0" borderId="1" xfId="19" applyNumberFormat="1" applyFont="1" applyFill="1" applyBorder="1" applyAlignment="1">
      <alignment vertical="center" wrapText="1"/>
    </xf>
    <xf numFmtId="3" fontId="56" fillId="0" borderId="11" xfId="19" applyNumberFormat="1" applyFont="1" applyFill="1" applyBorder="1" applyAlignment="1">
      <alignment horizontal="center" wrapText="1"/>
    </xf>
    <xf numFmtId="3" fontId="56" fillId="0" borderId="5" xfId="19" applyNumberFormat="1" applyFont="1" applyFill="1" applyBorder="1" applyAlignment="1">
      <alignment horizontal="center" wrapText="1"/>
    </xf>
    <xf numFmtId="0" fontId="57" fillId="0" borderId="5" xfId="19" applyFont="1" applyFill="1" applyBorder="1" applyAlignment="1">
      <alignment horizontal="center" wrapText="1"/>
    </xf>
    <xf numFmtId="0" fontId="56" fillId="0" borderId="5" xfId="19" applyFont="1" applyFill="1" applyBorder="1" applyAlignment="1">
      <alignment horizontal="center" wrapText="1"/>
    </xf>
    <xf numFmtId="0" fontId="56" fillId="0" borderId="5" xfId="19" applyFont="1" applyFill="1" applyBorder="1" applyAlignment="1">
      <alignment horizontal="center"/>
    </xf>
    <xf numFmtId="0" fontId="56" fillId="0" borderId="15" xfId="19" applyFont="1" applyFill="1" applyBorder="1" applyAlignment="1">
      <alignment horizontal="center"/>
    </xf>
    <xf numFmtId="3" fontId="43" fillId="0" borderId="1" xfId="19" applyNumberFormat="1" applyFont="1" applyFill="1" applyBorder="1" applyAlignment="1">
      <alignment vertical="center"/>
    </xf>
    <xf numFmtId="0" fontId="44" fillId="0" borderId="0" xfId="19" applyFont="1" applyFill="1" applyAlignment="1">
      <alignment vertical="top"/>
    </xf>
    <xf numFmtId="3" fontId="42" fillId="0" borderId="1" xfId="19" applyNumberFormat="1" applyFont="1" applyFill="1" applyBorder="1" applyAlignment="1">
      <alignment horizontal="right" vertical="center"/>
    </xf>
    <xf numFmtId="0" fontId="42" fillId="0" borderId="1" xfId="19" applyFont="1" applyFill="1" applyBorder="1" applyAlignment="1">
      <alignment horizontal="right" vertical="center"/>
    </xf>
    <xf numFmtId="3" fontId="56" fillId="0" borderId="14" xfId="19" applyNumberFormat="1" applyFont="1" applyFill="1" applyBorder="1" applyAlignment="1">
      <alignment horizontal="center" wrapText="1"/>
    </xf>
    <xf numFmtId="3" fontId="56" fillId="0" borderId="0" xfId="19" applyNumberFormat="1" applyFont="1" applyFill="1" applyBorder="1" applyAlignment="1">
      <alignment horizontal="center" wrapText="1"/>
    </xf>
    <xf numFmtId="0" fontId="57" fillId="0" borderId="0" xfId="19" applyFont="1" applyFill="1" applyBorder="1" applyAlignment="1">
      <alignment horizontal="center" wrapText="1"/>
    </xf>
    <xf numFmtId="0" fontId="56" fillId="0" borderId="0" xfId="19" applyFont="1" applyFill="1" applyBorder="1" applyAlignment="1">
      <alignment horizontal="center" wrapText="1"/>
    </xf>
    <xf numFmtId="0" fontId="56" fillId="0" borderId="0" xfId="19" applyFont="1" applyFill="1" applyBorder="1" applyAlignment="1">
      <alignment horizontal="left" wrapText="1"/>
    </xf>
    <xf numFmtId="0" fontId="56" fillId="0" borderId="0" xfId="19" applyFont="1" applyFill="1" applyBorder="1" applyAlignment="1">
      <alignment horizontal="center"/>
    </xf>
    <xf numFmtId="0" fontId="56" fillId="0" borderId="13" xfId="19" applyFont="1" applyFill="1" applyBorder="1" applyAlignment="1">
      <alignment horizontal="center"/>
    </xf>
    <xf numFmtId="0" fontId="43" fillId="0" borderId="0" xfId="19" applyFont="1" applyFill="1" applyAlignment="1">
      <alignment horizontal="center" vertical="center"/>
    </xf>
    <xf numFmtId="0" fontId="43" fillId="0" borderId="1" xfId="19" applyFont="1" applyFill="1" applyBorder="1" applyAlignment="1">
      <alignment horizontal="center" vertical="center" wrapText="1"/>
    </xf>
    <xf numFmtId="0" fontId="56" fillId="0" borderId="0" xfId="19" applyFont="1" applyFill="1" applyAlignment="1">
      <alignment horizontal="center" vertical="center"/>
    </xf>
    <xf numFmtId="3" fontId="56" fillId="0" borderId="10" xfId="19" applyNumberFormat="1" applyFont="1" applyFill="1" applyBorder="1" applyAlignment="1">
      <alignment horizontal="center" vertical="center" wrapText="1"/>
    </xf>
    <xf numFmtId="3" fontId="56" fillId="0" borderId="3" xfId="19" applyNumberFormat="1" applyFont="1" applyFill="1" applyBorder="1" applyAlignment="1">
      <alignment horizontal="center" vertical="center" wrapText="1"/>
    </xf>
    <xf numFmtId="0" fontId="57" fillId="0" borderId="3" xfId="19" applyFont="1" applyFill="1" applyBorder="1" applyAlignment="1">
      <alignment horizontal="center" vertical="center" wrapText="1"/>
    </xf>
    <xf numFmtId="0" fontId="56" fillId="0" borderId="3" xfId="19" applyFont="1" applyFill="1" applyBorder="1" applyAlignment="1">
      <alignment horizontal="center" vertical="center" wrapText="1"/>
    </xf>
    <xf numFmtId="0" fontId="56" fillId="0" borderId="3" xfId="19" applyFont="1" applyFill="1" applyBorder="1" applyAlignment="1">
      <alignment horizontal="center" vertical="center"/>
    </xf>
    <xf numFmtId="0" fontId="56" fillId="0" borderId="13" xfId="19" applyFont="1" applyFill="1" applyBorder="1" applyAlignment="1">
      <alignment horizontal="center" vertical="center"/>
    </xf>
    <xf numFmtId="0" fontId="35" fillId="0" borderId="0" xfId="19" applyFont="1" applyFill="1" applyAlignment="1">
      <alignment horizontal="center" vertical="center"/>
    </xf>
    <xf numFmtId="3" fontId="35" fillId="0" borderId="1" xfId="19" applyNumberFormat="1" applyFont="1" applyFill="1" applyBorder="1" applyAlignment="1">
      <alignment horizontal="center" vertical="center" wrapText="1"/>
    </xf>
    <xf numFmtId="0" fontId="35" fillId="0" borderId="1" xfId="19" applyFont="1" applyFill="1" applyBorder="1" applyAlignment="1">
      <alignment horizontal="center" vertical="center" wrapText="1"/>
    </xf>
    <xf numFmtId="3" fontId="44" fillId="0" borderId="1" xfId="19" applyNumberFormat="1" applyFont="1" applyFill="1" applyBorder="1" applyAlignment="1">
      <alignment horizontal="center" vertical="top" wrapText="1"/>
    </xf>
    <xf numFmtId="0" fontId="44" fillId="0" borderId="4" xfId="19" applyFont="1" applyFill="1" applyBorder="1" applyAlignment="1">
      <alignment horizontal="center" vertical="top" wrapText="1"/>
    </xf>
    <xf numFmtId="0" fontId="44" fillId="0" borderId="2" xfId="19" applyFont="1" applyFill="1" applyBorder="1" applyAlignment="1">
      <alignment horizontal="center" vertical="top" wrapText="1"/>
    </xf>
    <xf numFmtId="3" fontId="15" fillId="0" borderId="0" xfId="19" applyNumberFormat="1" applyFont="1" applyFill="1" applyAlignment="1">
      <alignment horizontal="center" vertical="center" wrapText="1"/>
    </xf>
    <xf numFmtId="0" fontId="39" fillId="0" borderId="0" xfId="19" applyFont="1" applyFill="1" applyAlignment="1">
      <alignment vertical="center" wrapText="1"/>
    </xf>
    <xf numFmtId="0" fontId="15" fillId="0" borderId="0" xfId="19" applyFont="1" applyFill="1" applyAlignment="1">
      <alignment horizontal="center" vertical="center" wrapText="1"/>
    </xf>
    <xf numFmtId="0" fontId="15" fillId="0" borderId="0" xfId="19" applyFont="1" applyFill="1" applyAlignment="1">
      <alignment vertical="center" wrapText="1"/>
    </xf>
    <xf numFmtId="0" fontId="15" fillId="0" borderId="0" xfId="19" applyFont="1" applyFill="1" applyAlignment="1">
      <alignment horizontal="center" vertical="center"/>
    </xf>
    <xf numFmtId="3" fontId="39" fillId="0" borderId="0" xfId="19" applyNumberFormat="1" applyFont="1" applyFill="1" applyAlignment="1">
      <alignment horizontal="left" vertical="center"/>
    </xf>
    <xf numFmtId="3" fontId="15" fillId="0" borderId="0" xfId="19" applyNumberFormat="1" applyFont="1" applyFill="1" applyAlignment="1">
      <alignment horizontal="center" vertical="center"/>
    </xf>
    <xf numFmtId="3" fontId="15" fillId="0" borderId="0" xfId="19" applyNumberFormat="1" applyFont="1" applyFill="1" applyAlignment="1">
      <alignment horizontal="left" vertical="center" wrapText="1"/>
    </xf>
    <xf numFmtId="0" fontId="18" fillId="0" borderId="0" xfId="19" applyFont="1" applyFill="1" applyAlignment="1">
      <alignment vertical="center" wrapText="1"/>
    </xf>
    <xf numFmtId="0" fontId="18" fillId="0" borderId="0" xfId="19" applyFont="1" applyFill="1"/>
    <xf numFmtId="0" fontId="44" fillId="0" borderId="0" xfId="19" applyFont="1" applyFill="1"/>
    <xf numFmtId="0" fontId="40" fillId="0" borderId="0" xfId="19" applyFont="1" applyFill="1" applyAlignment="1">
      <alignment vertical="center"/>
    </xf>
    <xf numFmtId="0" fontId="40" fillId="0" borderId="0" xfId="19" applyFont="1" applyFill="1"/>
    <xf numFmtId="3" fontId="15" fillId="0" borderId="0" xfId="19" applyNumberFormat="1" applyFont="1" applyFill="1" applyAlignment="1">
      <alignment vertical="center" wrapText="1"/>
    </xf>
    <xf numFmtId="0" fontId="15" fillId="0" borderId="0" xfId="19" applyFont="1" applyFill="1" applyAlignment="1">
      <alignment vertical="top" wrapText="1"/>
    </xf>
    <xf numFmtId="3" fontId="24" fillId="0" borderId="1" xfId="19" applyNumberFormat="1" applyFont="1" applyFill="1" applyBorder="1" applyAlignment="1">
      <alignment horizontal="right" vertical="center"/>
    </xf>
    <xf numFmtId="0" fontId="24" fillId="0" borderId="1" xfId="19" applyFont="1" applyFill="1" applyBorder="1" applyAlignment="1">
      <alignment horizontal="center" vertical="center" wrapText="1"/>
    </xf>
    <xf numFmtId="49" fontId="24" fillId="0" borderId="4" xfId="19" applyNumberFormat="1" applyFont="1" applyFill="1" applyBorder="1" applyAlignment="1">
      <alignment horizontal="center" vertical="top"/>
    </xf>
    <xf numFmtId="3" fontId="24" fillId="0" borderId="1" xfId="19" applyNumberFormat="1" applyFont="1" applyFill="1" applyBorder="1" applyAlignment="1">
      <alignment vertical="center" wrapText="1"/>
    </xf>
    <xf numFmtId="49" fontId="24" fillId="0" borderId="8" xfId="19" applyNumberFormat="1" applyFont="1" applyFill="1" applyBorder="1" applyAlignment="1">
      <alignment horizontal="center" vertical="top"/>
    </xf>
    <xf numFmtId="49" fontId="24" fillId="0" borderId="2" xfId="19" applyNumberFormat="1" applyFont="1" applyFill="1" applyBorder="1" applyAlignment="1">
      <alignment horizontal="center" vertical="top"/>
    </xf>
    <xf numFmtId="9" fontId="15" fillId="0" borderId="0" xfId="22" applyFont="1" applyFill="1" applyAlignment="1">
      <alignment vertical="top"/>
    </xf>
    <xf numFmtId="9" fontId="15" fillId="0" borderId="0" xfId="22" applyFont="1" applyFill="1" applyAlignment="1">
      <alignment vertical="top" wrapText="1"/>
    </xf>
    <xf numFmtId="3" fontId="24" fillId="0" borderId="1" xfId="22" applyNumberFormat="1" applyFont="1" applyFill="1" applyBorder="1" applyAlignment="1">
      <alignment horizontal="right" vertical="center"/>
    </xf>
    <xf numFmtId="9" fontId="24" fillId="0" borderId="1" xfId="22" applyFont="1" applyFill="1" applyBorder="1" applyAlignment="1">
      <alignment horizontal="center" vertical="center" wrapText="1"/>
    </xf>
    <xf numFmtId="9" fontId="24" fillId="0" borderId="8" xfId="22" applyFont="1" applyFill="1" applyBorder="1" applyAlignment="1">
      <alignment horizontal="center" vertical="top"/>
    </xf>
    <xf numFmtId="3" fontId="24" fillId="0" borderId="1" xfId="22" applyNumberFormat="1" applyFont="1" applyFill="1" applyBorder="1" applyAlignment="1">
      <alignment vertical="center" wrapText="1"/>
    </xf>
    <xf numFmtId="1" fontId="24" fillId="0" borderId="8" xfId="22" applyNumberFormat="1" applyFont="1" applyFill="1" applyBorder="1" applyAlignment="1">
      <alignment horizontal="center" vertical="top"/>
    </xf>
    <xf numFmtId="0" fontId="24" fillId="0" borderId="8" xfId="22" applyNumberFormat="1" applyFont="1" applyFill="1" applyBorder="1" applyAlignment="1">
      <alignment horizontal="center" vertical="top"/>
    </xf>
    <xf numFmtId="0" fontId="17" fillId="0" borderId="0" xfId="19" applyFont="1" applyFill="1" applyAlignment="1">
      <alignment horizontal="center" vertical="center"/>
    </xf>
    <xf numFmtId="3" fontId="17" fillId="0" borderId="1" xfId="19" applyNumberFormat="1" applyFont="1" applyFill="1" applyBorder="1" applyAlignment="1">
      <alignment horizontal="right" vertical="center" wrapText="1"/>
    </xf>
    <xf numFmtId="0" fontId="56" fillId="0" borderId="0" xfId="19" applyFont="1" applyFill="1" applyAlignment="1">
      <alignment horizontal="center" wrapText="1"/>
    </xf>
    <xf numFmtId="0" fontId="56" fillId="0" borderId="1" xfId="19" applyFont="1" applyFill="1" applyBorder="1" applyAlignment="1">
      <alignment horizontal="center" wrapText="1"/>
    </xf>
    <xf numFmtId="3" fontId="56" fillId="0" borderId="1" xfId="19" applyNumberFormat="1" applyFont="1" applyFill="1" applyBorder="1" applyAlignment="1">
      <alignment horizontal="center" wrapText="1"/>
    </xf>
    <xf numFmtId="0" fontId="56" fillId="0" borderId="1" xfId="19" applyFont="1" applyFill="1" applyBorder="1" applyAlignment="1">
      <alignment horizontal="center"/>
    </xf>
    <xf numFmtId="3" fontId="15" fillId="0" borderId="0" xfId="19" applyNumberFormat="1" applyFont="1" applyFill="1" applyAlignment="1">
      <alignment horizontal="center" wrapText="1"/>
    </xf>
    <xf numFmtId="3" fontId="15" fillId="0" borderId="0" xfId="19" applyNumberFormat="1" applyFont="1" applyFill="1" applyAlignment="1">
      <alignment horizontal="left" wrapText="1"/>
    </xf>
    <xf numFmtId="0" fontId="15" fillId="0" borderId="0" xfId="19" applyFont="1" applyFill="1" applyProtection="1"/>
    <xf numFmtId="0" fontId="15" fillId="0" borderId="0" xfId="19" applyFont="1" applyFill="1" applyAlignment="1" applyProtection="1">
      <alignment wrapText="1"/>
    </xf>
    <xf numFmtId="0" fontId="15" fillId="0" borderId="0" xfId="19" applyFont="1" applyFill="1" applyAlignment="1" applyProtection="1">
      <alignment horizontal="center"/>
    </xf>
    <xf numFmtId="3" fontId="15" fillId="0" borderId="0" xfId="19" applyNumberFormat="1" applyFont="1" applyFill="1" applyAlignment="1" applyProtection="1"/>
    <xf numFmtId="3" fontId="5" fillId="0" borderId="0" xfId="0" applyNumberFormat="1" applyFont="1" applyAlignment="1">
      <alignment horizontal="center" wrapText="1"/>
    </xf>
    <xf numFmtId="49" fontId="27" fillId="0" borderId="2" xfId="5" applyNumberFormat="1" applyFont="1" applyBorder="1" applyAlignment="1">
      <alignment horizontal="center" vertical="top" wrapText="1"/>
    </xf>
    <xf numFmtId="49" fontId="27" fillId="0" borderId="3" xfId="5" applyNumberFormat="1" applyFont="1" applyBorder="1" applyAlignment="1">
      <alignment horizontal="center" vertical="top" wrapText="1"/>
    </xf>
    <xf numFmtId="0" fontId="27" fillId="0" borderId="2" xfId="5" applyFont="1" applyBorder="1" applyAlignment="1">
      <alignment vertical="top" wrapText="1"/>
    </xf>
    <xf numFmtId="3" fontId="27" fillId="0" borderId="3" xfId="5" applyNumberFormat="1" applyFont="1" applyBorder="1" applyAlignment="1">
      <alignment vertical="top" wrapText="1"/>
    </xf>
    <xf numFmtId="3" fontId="27" fillId="0" borderId="2" xfId="5" applyNumberFormat="1" applyFont="1" applyBorder="1" applyAlignment="1">
      <alignment vertical="top" wrapText="1"/>
    </xf>
    <xf numFmtId="49" fontId="26" fillId="0" borderId="2" xfId="5" applyNumberFormat="1" applyFont="1" applyBorder="1" applyAlignment="1">
      <alignment horizontal="center" vertical="top" wrapText="1"/>
    </xf>
    <xf numFmtId="49" fontId="26" fillId="0" borderId="3" xfId="5" applyNumberFormat="1" applyFont="1" applyBorder="1" applyAlignment="1">
      <alignment horizontal="center" vertical="top" wrapText="1"/>
    </xf>
    <xf numFmtId="0" fontId="26" fillId="0" borderId="2" xfId="5" applyFont="1" applyBorder="1" applyAlignment="1">
      <alignment vertical="top" wrapText="1"/>
    </xf>
    <xf numFmtId="3" fontId="26" fillId="0" borderId="3" xfId="5" applyNumberFormat="1" applyFont="1" applyBorder="1" applyAlignment="1">
      <alignment vertical="top" wrapText="1"/>
    </xf>
    <xf numFmtId="3" fontId="26" fillId="0" borderId="2" xfId="5" applyNumberFormat="1" applyFont="1" applyBorder="1" applyAlignment="1">
      <alignment vertical="top" wrapText="1"/>
    </xf>
    <xf numFmtId="0" fontId="15" fillId="0" borderId="0" xfId="23" applyFont="1" applyAlignment="1">
      <alignment wrapText="1"/>
    </xf>
    <xf numFmtId="0" fontId="15" fillId="0" borderId="0" xfId="23" applyFont="1" applyAlignment="1">
      <alignment horizontal="left" wrapText="1"/>
    </xf>
    <xf numFmtId="0" fontId="2" fillId="0" borderId="0" xfId="7"/>
    <xf numFmtId="0" fontId="15" fillId="0" borderId="0" xfId="24" applyFont="1" applyAlignment="1">
      <alignment horizontal="left" vertical="center" wrapText="1"/>
    </xf>
    <xf numFmtId="0" fontId="16" fillId="0" borderId="0" xfId="23" applyFont="1" applyAlignment="1">
      <alignment horizontal="center" wrapText="1"/>
    </xf>
    <xf numFmtId="3" fontId="5" fillId="0" borderId="0" xfId="25" applyNumberFormat="1" applyFont="1" applyAlignment="1"/>
    <xf numFmtId="0" fontId="15" fillId="0" borderId="0" xfId="24" applyFont="1" applyFill="1" applyAlignment="1">
      <alignment horizontal="center" wrapText="1"/>
    </xf>
    <xf numFmtId="0" fontId="62" fillId="0" borderId="1" xfId="23" applyFont="1" applyFill="1" applyBorder="1" applyAlignment="1">
      <alignment horizontal="center" vertical="center" wrapText="1"/>
    </xf>
    <xf numFmtId="0" fontId="62" fillId="0" borderId="9" xfId="23" applyFont="1" applyFill="1" applyBorder="1" applyAlignment="1">
      <alignment horizontal="center" vertical="center" wrapText="1"/>
    </xf>
    <xf numFmtId="0" fontId="62" fillId="0" borderId="1" xfId="23" applyFont="1" applyBorder="1" applyAlignment="1">
      <alignment horizontal="center" vertical="center" wrapText="1"/>
    </xf>
    <xf numFmtId="0" fontId="62" fillId="0" borderId="7" xfId="23" applyFont="1" applyBorder="1" applyAlignment="1">
      <alignment horizontal="center" vertical="center" wrapText="1"/>
    </xf>
    <xf numFmtId="0" fontId="62" fillId="0" borderId="13" xfId="23" applyFont="1" applyFill="1" applyBorder="1" applyAlignment="1">
      <alignment wrapText="1"/>
    </xf>
    <xf numFmtId="0" fontId="62" fillId="0" borderId="0" xfId="23" applyFont="1" applyFill="1" applyBorder="1" applyAlignment="1">
      <alignment wrapText="1"/>
    </xf>
    <xf numFmtId="0" fontId="62" fillId="0" borderId="8" xfId="23" applyFont="1" applyFill="1" applyBorder="1" applyAlignment="1">
      <alignment wrapText="1"/>
    </xf>
    <xf numFmtId="0" fontId="44" fillId="0" borderId="1" xfId="23" applyFont="1" applyFill="1" applyBorder="1" applyAlignment="1">
      <alignment horizontal="center" vertical="center" wrapText="1"/>
    </xf>
    <xf numFmtId="0" fontId="44" fillId="0" borderId="1" xfId="23" applyFont="1" applyFill="1" applyBorder="1" applyAlignment="1">
      <alignment vertical="center" wrapText="1"/>
    </xf>
    <xf numFmtId="3" fontId="64" fillId="0" borderId="1" xfId="23" applyNumberFormat="1" applyFont="1" applyFill="1" applyBorder="1" applyAlignment="1">
      <alignment vertical="center" wrapText="1"/>
    </xf>
    <xf numFmtId="0" fontId="65" fillId="0" borderId="1" xfId="23" applyFont="1" applyFill="1" applyBorder="1" applyAlignment="1">
      <alignment horizontal="center" vertical="center" wrapText="1"/>
    </xf>
    <xf numFmtId="0" fontId="65" fillId="0" borderId="1" xfId="23" applyFont="1" applyFill="1" applyBorder="1" applyAlignment="1">
      <alignment vertical="center" wrapText="1"/>
    </xf>
    <xf numFmtId="3" fontId="65" fillId="0" borderId="1" xfId="23" applyNumberFormat="1" applyFont="1" applyFill="1" applyBorder="1" applyAlignment="1">
      <alignment vertical="center" wrapText="1"/>
    </xf>
    <xf numFmtId="49" fontId="24" fillId="0" borderId="1" xfId="23" applyNumberFormat="1" applyFont="1" applyFill="1" applyBorder="1" applyAlignment="1">
      <alignment horizontal="center" vertical="center" wrapText="1"/>
    </xf>
    <xf numFmtId="0" fontId="24" fillId="0" borderId="1" xfId="23" applyFont="1" applyFill="1" applyBorder="1" applyAlignment="1">
      <alignment horizontal="center" vertical="center" wrapText="1"/>
    </xf>
    <xf numFmtId="0" fontId="24" fillId="0" borderId="1" xfId="23" applyFont="1" applyBorder="1" applyAlignment="1">
      <alignment vertical="center" wrapText="1"/>
    </xf>
    <xf numFmtId="3" fontId="24" fillId="0" borderId="1" xfId="23" applyNumberFormat="1" applyFont="1" applyFill="1" applyBorder="1" applyAlignment="1">
      <alignment vertical="center" wrapText="1"/>
    </xf>
    <xf numFmtId="0" fontId="24" fillId="0" borderId="1" xfId="23" applyFont="1" applyFill="1" applyBorder="1" applyAlignment="1">
      <alignment vertical="center" wrapText="1"/>
    </xf>
    <xf numFmtId="49" fontId="62" fillId="0" borderId="1" xfId="23" applyNumberFormat="1" applyFont="1" applyFill="1" applyBorder="1" applyAlignment="1">
      <alignment horizontal="center" vertical="center" wrapText="1"/>
    </xf>
    <xf numFmtId="0" fontId="62" fillId="0" borderId="1" xfId="23" applyFont="1" applyFill="1" applyBorder="1" applyAlignment="1">
      <alignment vertical="center" wrapText="1"/>
    </xf>
    <xf numFmtId="3" fontId="62" fillId="0" borderId="1" xfId="23" applyNumberFormat="1" applyFont="1" applyFill="1" applyBorder="1" applyAlignment="1">
      <alignment vertical="center" wrapText="1"/>
    </xf>
    <xf numFmtId="0" fontId="63" fillId="0" borderId="1" xfId="23" applyFont="1" applyFill="1" applyBorder="1" applyAlignment="1">
      <alignment horizontal="center" vertical="center" wrapText="1"/>
    </xf>
    <xf numFmtId="0" fontId="63" fillId="0" borderId="1" xfId="23" applyFont="1" applyFill="1" applyBorder="1" applyAlignment="1">
      <alignment vertical="center" wrapText="1"/>
    </xf>
    <xf numFmtId="3" fontId="44" fillId="0" borderId="1" xfId="23" applyNumberFormat="1" applyFont="1" applyFill="1" applyBorder="1" applyAlignment="1">
      <alignment vertical="center" wrapText="1"/>
    </xf>
    <xf numFmtId="0" fontId="15" fillId="0" borderId="13" xfId="23" applyFont="1" applyFill="1" applyBorder="1" applyAlignment="1">
      <alignment horizontal="center" vertical="center" wrapText="1"/>
    </xf>
    <xf numFmtId="0" fontId="15" fillId="0" borderId="0" xfId="23" applyFont="1" applyFill="1" applyBorder="1" applyAlignment="1">
      <alignment horizontal="center" vertical="center" wrapText="1"/>
    </xf>
    <xf numFmtId="0" fontId="15" fillId="0" borderId="0" xfId="23" applyFont="1" applyFill="1" applyBorder="1" applyAlignment="1">
      <alignment vertical="center" wrapText="1"/>
    </xf>
    <xf numFmtId="3" fontId="19" fillId="0" borderId="8" xfId="23" applyNumberFormat="1" applyFont="1" applyFill="1" applyBorder="1" applyAlignment="1">
      <alignment vertical="center" wrapText="1"/>
    </xf>
    <xf numFmtId="0" fontId="64" fillId="0" borderId="1" xfId="23" applyFont="1" applyFill="1" applyBorder="1" applyAlignment="1">
      <alignment horizontal="center" vertical="center" wrapText="1"/>
    </xf>
    <xf numFmtId="0" fontId="64" fillId="0" borderId="1" xfId="23" applyFont="1" applyFill="1" applyBorder="1" applyAlignment="1">
      <alignment vertical="center" wrapText="1"/>
    </xf>
    <xf numFmtId="0" fontId="66" fillId="0" borderId="1" xfId="23" applyFont="1" applyFill="1" applyBorder="1" applyAlignment="1">
      <alignment horizontal="center" vertical="center" wrapText="1"/>
    </xf>
    <xf numFmtId="0" fontId="66" fillId="0" borderId="1" xfId="23" applyFont="1" applyFill="1" applyBorder="1" applyAlignment="1">
      <alignment vertical="center" wrapText="1"/>
    </xf>
    <xf numFmtId="3" fontId="66" fillId="0" borderId="1" xfId="23" applyNumberFormat="1" applyFont="1" applyFill="1" applyBorder="1" applyAlignment="1">
      <alignment vertical="center" wrapText="1"/>
    </xf>
    <xf numFmtId="0" fontId="15" fillId="0" borderId="1" xfId="23" applyFont="1" applyFill="1" applyBorder="1" applyAlignment="1">
      <alignment horizontal="center" vertical="center" wrapText="1"/>
    </xf>
    <xf numFmtId="0" fontId="15" fillId="0" borderId="1" xfId="23" applyFont="1" applyFill="1" applyBorder="1" applyAlignment="1">
      <alignment vertical="center" wrapText="1"/>
    </xf>
    <xf numFmtId="0" fontId="63" fillId="0" borderId="13" xfId="23" applyFont="1" applyFill="1" applyBorder="1" applyAlignment="1">
      <alignment horizontal="center" vertical="center" wrapText="1"/>
    </xf>
    <xf numFmtId="0" fontId="63" fillId="0" borderId="0" xfId="23" applyFont="1" applyFill="1" applyBorder="1" applyAlignment="1">
      <alignment horizontal="center" vertical="center" wrapText="1"/>
    </xf>
    <xf numFmtId="0" fontId="63" fillId="0" borderId="0" xfId="23" applyFont="1" applyFill="1" applyBorder="1" applyAlignment="1">
      <alignment vertical="center" wrapText="1"/>
    </xf>
    <xf numFmtId="3" fontId="44" fillId="0" borderId="8" xfId="23" applyNumberFormat="1" applyFont="1" applyFill="1" applyBorder="1" applyAlignment="1">
      <alignment vertical="center" wrapText="1"/>
    </xf>
    <xf numFmtId="0" fontId="44" fillId="0" borderId="13" xfId="23" applyFont="1" applyFill="1" applyBorder="1" applyAlignment="1">
      <alignment horizontal="center" vertical="center" wrapText="1"/>
    </xf>
    <xf numFmtId="0" fontId="44" fillId="0" borderId="0" xfId="23" applyFont="1" applyFill="1" applyBorder="1" applyAlignment="1">
      <alignment horizontal="center" vertical="center" wrapText="1"/>
    </xf>
    <xf numFmtId="0" fontId="44" fillId="0" borderId="0" xfId="23" applyFont="1" applyFill="1" applyBorder="1" applyAlignment="1">
      <alignment vertical="center" wrapText="1"/>
    </xf>
    <xf numFmtId="0" fontId="44" fillId="0" borderId="2" xfId="23" applyFont="1" applyFill="1" applyBorder="1" applyAlignment="1">
      <alignment horizontal="center" vertical="center" wrapText="1"/>
    </xf>
    <xf numFmtId="0" fontId="44" fillId="0" borderId="2" xfId="23" applyFont="1" applyFill="1" applyBorder="1" applyAlignment="1">
      <alignment vertical="center" wrapText="1"/>
    </xf>
    <xf numFmtId="3" fontId="44" fillId="0" borderId="2" xfId="23" applyNumberFormat="1" applyFont="1" applyFill="1" applyBorder="1" applyAlignment="1">
      <alignment vertical="center" wrapText="1"/>
    </xf>
    <xf numFmtId="49" fontId="15" fillId="0" borderId="1" xfId="23" applyNumberFormat="1" applyFont="1" applyFill="1" applyBorder="1" applyAlignment="1">
      <alignment horizontal="center" vertical="center" wrapText="1"/>
    </xf>
    <xf numFmtId="49" fontId="15" fillId="0" borderId="8" xfId="23" applyNumberFormat="1" applyFont="1" applyFill="1" applyBorder="1" applyAlignment="1">
      <alignment horizontal="center" vertical="center" wrapText="1"/>
    </xf>
    <xf numFmtId="0" fontId="15" fillId="0" borderId="8" xfId="23" applyFont="1" applyFill="1" applyBorder="1" applyAlignment="1">
      <alignment horizontal="center" vertical="center" wrapText="1"/>
    </xf>
    <xf numFmtId="3" fontId="62" fillId="0" borderId="8" xfId="23" applyNumberFormat="1" applyFont="1" applyFill="1" applyBorder="1" applyAlignment="1">
      <alignment vertical="center" wrapText="1"/>
    </xf>
    <xf numFmtId="0" fontId="15" fillId="0" borderId="12" xfId="23" applyFont="1" applyFill="1" applyBorder="1" applyAlignment="1">
      <alignment wrapText="1"/>
    </xf>
    <xf numFmtId="0" fontId="15" fillId="0" borderId="3" xfId="23" applyFont="1" applyFill="1" applyBorder="1" applyAlignment="1">
      <alignment wrapText="1"/>
    </xf>
    <xf numFmtId="0" fontId="15" fillId="0" borderId="10" xfId="23" applyFont="1" applyFill="1" applyBorder="1" applyAlignment="1">
      <alignment wrapText="1"/>
    </xf>
    <xf numFmtId="0" fontId="15" fillId="0" borderId="2" xfId="23" applyFont="1" applyFill="1" applyBorder="1" applyAlignment="1">
      <alignment wrapText="1"/>
    </xf>
    <xf numFmtId="0" fontId="63" fillId="0" borderId="8" xfId="23" applyFont="1" applyFill="1" applyBorder="1" applyAlignment="1">
      <alignment wrapText="1"/>
    </xf>
    <xf numFmtId="3" fontId="15" fillId="0" borderId="8" xfId="23" applyNumberFormat="1" applyFont="1" applyFill="1" applyBorder="1" applyAlignment="1">
      <alignment wrapText="1"/>
    </xf>
    <xf numFmtId="3" fontId="63" fillId="0" borderId="8" xfId="23" applyNumberFormat="1" applyFont="1" applyFill="1" applyBorder="1" applyAlignment="1">
      <alignment wrapText="1"/>
    </xf>
    <xf numFmtId="0" fontId="63" fillId="0" borderId="13" xfId="23" applyFont="1" applyFill="1" applyBorder="1" applyAlignment="1">
      <alignment wrapText="1"/>
    </xf>
    <xf numFmtId="0" fontId="63" fillId="0" borderId="0" xfId="23" applyFont="1" applyFill="1" applyBorder="1" applyAlignment="1">
      <alignment wrapText="1"/>
    </xf>
    <xf numFmtId="0" fontId="63" fillId="0" borderId="14" xfId="23" applyFont="1" applyFill="1" applyBorder="1" applyAlignment="1">
      <alignment wrapText="1"/>
    </xf>
    <xf numFmtId="0" fontId="23" fillId="0" borderId="12" xfId="23" applyFont="1" applyFill="1" applyBorder="1" applyAlignment="1">
      <alignment wrapText="1"/>
    </xf>
    <xf numFmtId="0" fontId="23" fillId="0" borderId="3" xfId="23" applyFont="1" applyFill="1" applyBorder="1" applyAlignment="1">
      <alignment wrapText="1"/>
    </xf>
    <xf numFmtId="0" fontId="23" fillId="0" borderId="10" xfId="23" applyFont="1" applyFill="1" applyBorder="1" applyAlignment="1">
      <alignment wrapText="1"/>
    </xf>
    <xf numFmtId="3" fontId="23" fillId="0" borderId="2" xfId="23" applyNumberFormat="1" applyFont="1" applyFill="1" applyBorder="1" applyAlignment="1">
      <alignment wrapText="1"/>
    </xf>
    <xf numFmtId="3" fontId="23" fillId="0" borderId="8" xfId="23" applyNumberFormat="1" applyFont="1" applyFill="1" applyBorder="1" applyAlignment="1">
      <alignment wrapText="1"/>
    </xf>
    <xf numFmtId="3" fontId="15" fillId="0" borderId="4" xfId="23" applyNumberFormat="1" applyFont="1" applyFill="1" applyBorder="1" applyAlignment="1">
      <alignment wrapText="1"/>
    </xf>
    <xf numFmtId="0" fontId="3" fillId="0" borderId="0" xfId="27" applyAlignment="1">
      <alignment horizontal="center"/>
    </xf>
    <xf numFmtId="0" fontId="3" fillId="0" borderId="0" xfId="27"/>
    <xf numFmtId="0" fontId="68" fillId="0" borderId="0" xfId="27" applyFont="1"/>
    <xf numFmtId="0" fontId="16" fillId="0" borderId="0" xfId="27" applyFont="1" applyFill="1" applyAlignment="1">
      <alignment horizontal="center"/>
    </xf>
    <xf numFmtId="0" fontId="3" fillId="0" borderId="0" xfId="27" applyFill="1"/>
    <xf numFmtId="0" fontId="7" fillId="0" borderId="0" xfId="27" applyFont="1" applyFill="1" applyAlignment="1">
      <alignment horizontal="center"/>
    </xf>
    <xf numFmtId="0" fontId="15" fillId="0" borderId="0" xfId="27" applyFont="1" applyFill="1"/>
    <xf numFmtId="0" fontId="74" fillId="0" borderId="0" xfId="27" applyFont="1" applyFill="1" applyAlignment="1">
      <alignment horizontal="center"/>
    </xf>
    <xf numFmtId="0" fontId="75" fillId="0" borderId="0" xfId="27" applyFont="1" applyFill="1" applyBorder="1" applyAlignment="1"/>
    <xf numFmtId="0" fontId="75" fillId="0" borderId="0" xfId="27" applyFont="1" applyFill="1" applyBorder="1" applyAlignment="1">
      <alignment horizontal="center"/>
    </xf>
    <xf numFmtId="3" fontId="15" fillId="0" borderId="1" xfId="27" applyNumberFormat="1" applyFont="1" applyFill="1" applyBorder="1" applyAlignment="1">
      <alignment horizontal="center" vertical="center" wrapText="1"/>
    </xf>
    <xf numFmtId="0" fontId="76" fillId="0" borderId="0" xfId="29" applyAlignment="1">
      <alignment vertical="center"/>
    </xf>
    <xf numFmtId="3" fontId="46" fillId="7" borderId="1" xfId="28" applyNumberFormat="1" applyFont="1" applyFill="1" applyBorder="1" applyAlignment="1">
      <alignment vertical="center"/>
    </xf>
    <xf numFmtId="3" fontId="77" fillId="0" borderId="1" xfId="28" applyNumberFormat="1" applyFont="1" applyBorder="1" applyAlignment="1">
      <alignment vertical="center"/>
    </xf>
    <xf numFmtId="3" fontId="15" fillId="0" borderId="1" xfId="27" applyNumberFormat="1" applyFont="1" applyBorder="1" applyAlignment="1">
      <alignment horizontal="center" vertical="center" wrapText="1"/>
    </xf>
    <xf numFmtId="3" fontId="18" fillId="0" borderId="1" xfId="27" applyNumberFormat="1" applyFont="1" applyFill="1" applyBorder="1" applyAlignment="1">
      <alignment horizontal="center" vertical="center"/>
    </xf>
    <xf numFmtId="0" fontId="79" fillId="0" borderId="0" xfId="29" applyFont="1" applyAlignment="1">
      <alignment vertical="center"/>
    </xf>
    <xf numFmtId="3" fontId="18" fillId="0" borderId="1" xfId="27" applyNumberFormat="1" applyFont="1" applyFill="1" applyBorder="1" applyAlignment="1">
      <alignment horizontal="center" vertical="center" wrapText="1"/>
    </xf>
    <xf numFmtId="3" fontId="14" fillId="7" borderId="1" xfId="28" applyNumberFormat="1" applyFont="1" applyFill="1" applyBorder="1" applyAlignment="1">
      <alignment vertical="center"/>
    </xf>
    <xf numFmtId="0" fontId="76" fillId="0" borderId="9" xfId="29" applyBorder="1" applyAlignment="1">
      <alignment horizontal="center"/>
    </xf>
    <xf numFmtId="0" fontId="76" fillId="0" borderId="6" xfId="29" applyBorder="1" applyAlignment="1">
      <alignment horizontal="center"/>
    </xf>
    <xf numFmtId="0" fontId="76" fillId="0" borderId="7" xfId="29" applyBorder="1" applyAlignment="1">
      <alignment horizontal="center"/>
    </xf>
    <xf numFmtId="0" fontId="76" fillId="0" borderId="0" xfId="29"/>
    <xf numFmtId="3" fontId="14" fillId="0" borderId="1" xfId="29" applyNumberFormat="1" applyFont="1" applyBorder="1" applyAlignment="1">
      <alignment horizontal="right" vertical="center"/>
    </xf>
    <xf numFmtId="0" fontId="15" fillId="0" borderId="0" xfId="27" applyFont="1" applyFill="1" applyBorder="1" applyAlignment="1">
      <alignment vertical="center"/>
    </xf>
    <xf numFmtId="0" fontId="15" fillId="0" borderId="0" xfId="27" applyFont="1" applyFill="1" applyAlignment="1">
      <alignment vertical="center"/>
    </xf>
    <xf numFmtId="0" fontId="18" fillId="0" borderId="0" xfId="27" applyFont="1" applyFill="1" applyAlignment="1">
      <alignment horizontal="right" vertical="center"/>
    </xf>
    <xf numFmtId="0" fontId="3" fillId="0" borderId="0" xfId="27" applyFill="1" applyAlignment="1">
      <alignment horizontal="right"/>
    </xf>
    <xf numFmtId="3" fontId="17" fillId="0" borderId="1" xfId="27" applyNumberFormat="1" applyFont="1" applyFill="1" applyBorder="1" applyAlignment="1">
      <alignment horizontal="center" vertical="center" wrapText="1"/>
    </xf>
    <xf numFmtId="0" fontId="17" fillId="0" borderId="0" xfId="27" applyFont="1" applyFill="1" applyAlignment="1">
      <alignment horizontal="right" vertical="center"/>
    </xf>
    <xf numFmtId="0" fontId="82" fillId="0" borderId="0" xfId="27" applyFont="1" applyFill="1" applyAlignment="1">
      <alignment horizontal="right"/>
    </xf>
    <xf numFmtId="0" fontId="76" fillId="0" borderId="0" xfId="29" applyAlignment="1">
      <alignment horizontal="center" vertical="center"/>
    </xf>
    <xf numFmtId="3" fontId="39" fillId="0" borderId="0" xfId="27" applyNumberFormat="1" applyFont="1" applyFill="1" applyBorder="1" applyAlignment="1">
      <alignment horizontal="center" vertical="center" wrapText="1"/>
    </xf>
    <xf numFmtId="0" fontId="46" fillId="0" borderId="0" xfId="29" applyFont="1"/>
    <xf numFmtId="0" fontId="70" fillId="0" borderId="0" xfId="27" applyFont="1" applyAlignment="1">
      <alignment wrapText="1"/>
    </xf>
    <xf numFmtId="0" fontId="16" fillId="0" borderId="0" xfId="27" applyFont="1" applyAlignment="1">
      <alignment horizontal="center"/>
    </xf>
    <xf numFmtId="0" fontId="39" fillId="0" borderId="0" xfId="27" applyFont="1" applyAlignment="1">
      <alignment horizontal="center"/>
    </xf>
    <xf numFmtId="0" fontId="76" fillId="0" borderId="0" xfId="28" applyAlignment="1">
      <alignment vertical="center"/>
    </xf>
    <xf numFmtId="3" fontId="15" fillId="0" borderId="1" xfId="27" applyNumberFormat="1" applyFont="1" applyFill="1" applyBorder="1" applyAlignment="1">
      <alignment horizontal="right" vertical="center" wrapText="1"/>
    </xf>
    <xf numFmtId="3" fontId="46" fillId="9" borderId="1" xfId="28" applyNumberFormat="1" applyFont="1" applyFill="1" applyBorder="1" applyAlignment="1">
      <alignment vertical="center"/>
    </xf>
    <xf numFmtId="0" fontId="79" fillId="0" borderId="0" xfId="28" applyFont="1" applyAlignment="1">
      <alignment vertical="center"/>
    </xf>
    <xf numFmtId="0" fontId="76" fillId="0" borderId="0" xfId="28"/>
    <xf numFmtId="3" fontId="18" fillId="0" borderId="1" xfId="27" applyNumberFormat="1" applyFont="1" applyFill="1" applyBorder="1" applyAlignment="1">
      <alignment horizontal="right" vertical="center"/>
    </xf>
    <xf numFmtId="3" fontId="14" fillId="9" borderId="1" xfId="28" applyNumberFormat="1" applyFont="1" applyFill="1" applyBorder="1" applyAlignment="1">
      <alignment vertical="center"/>
    </xf>
    <xf numFmtId="0" fontId="76" fillId="0" borderId="0" xfId="28" applyAlignment="1">
      <alignment horizontal="center"/>
    </xf>
    <xf numFmtId="0" fontId="76" fillId="0" borderId="0" xfId="28" applyFont="1" applyAlignment="1">
      <alignment horizontal="center"/>
    </xf>
    <xf numFmtId="0" fontId="76" fillId="0" borderId="0" xfId="28" applyFont="1"/>
    <xf numFmtId="0" fontId="83" fillId="0" borderId="0" xfId="31" applyFont="1" applyAlignment="1">
      <alignment horizontal="center" vertical="top"/>
    </xf>
    <xf numFmtId="3" fontId="15" fillId="0" borderId="0" xfId="19" applyNumberFormat="1" applyFont="1" applyAlignment="1">
      <alignment horizontal="right"/>
    </xf>
    <xf numFmtId="3" fontId="5" fillId="0" borderId="0" xfId="31" applyNumberFormat="1" applyFont="1"/>
    <xf numFmtId="0" fontId="83" fillId="0" borderId="0" xfId="31" applyFont="1" applyAlignment="1">
      <alignment vertical="top"/>
    </xf>
    <xf numFmtId="0" fontId="15" fillId="0" borderId="0" xfId="19" applyFont="1"/>
    <xf numFmtId="0" fontId="83" fillId="0" borderId="5" xfId="31" applyFont="1" applyBorder="1" applyAlignment="1">
      <alignment horizontal="center" vertical="top"/>
    </xf>
    <xf numFmtId="0" fontId="83" fillId="0" borderId="5" xfId="31" applyFont="1" applyBorder="1" applyAlignment="1">
      <alignment vertical="top"/>
    </xf>
    <xf numFmtId="0" fontId="83" fillId="0" borderId="0" xfId="31" applyFont="1" applyBorder="1" applyAlignment="1">
      <alignment vertical="top"/>
    </xf>
    <xf numFmtId="0" fontId="7" fillId="0" borderId="0" xfId="32" applyFont="1" applyAlignment="1">
      <alignment horizontal="center"/>
    </xf>
    <xf numFmtId="0" fontId="84" fillId="0" borderId="1" xfId="31" applyFont="1" applyBorder="1" applyAlignment="1">
      <alignment horizontal="center" vertical="center"/>
    </xf>
    <xf numFmtId="0" fontId="84" fillId="0" borderId="7" xfId="31" applyFont="1" applyBorder="1" applyAlignment="1">
      <alignment horizontal="center" vertical="center"/>
    </xf>
    <xf numFmtId="0" fontId="84" fillId="0" borderId="0" xfId="31" applyFont="1" applyAlignment="1">
      <alignment horizontal="center" vertical="center" wrapText="1"/>
    </xf>
    <xf numFmtId="0" fontId="84" fillId="0" borderId="9" xfId="31" applyFont="1" applyBorder="1" applyAlignment="1">
      <alignment horizontal="center" vertical="center"/>
    </xf>
    <xf numFmtId="0" fontId="84" fillId="0" borderId="1" xfId="31" applyFont="1" applyBorder="1" applyAlignment="1">
      <alignment horizontal="center" vertical="center" wrapText="1"/>
    </xf>
    <xf numFmtId="0" fontId="84" fillId="0" borderId="0" xfId="31" applyFont="1" applyAlignment="1">
      <alignment horizontal="center" vertical="center"/>
    </xf>
    <xf numFmtId="0" fontId="84" fillId="0" borderId="12" xfId="31" applyFont="1" applyBorder="1" applyAlignment="1">
      <alignment horizontal="center"/>
    </xf>
    <xf numFmtId="0" fontId="84" fillId="0" borderId="9" xfId="31" applyFont="1" applyBorder="1" applyAlignment="1">
      <alignment horizontal="center" vertical="top" wrapText="1"/>
    </xf>
    <xf numFmtId="0" fontId="84" fillId="0" borderId="3" xfId="31" applyFont="1" applyBorder="1" applyAlignment="1">
      <alignment wrapText="1"/>
    </xf>
    <xf numFmtId="3" fontId="84" fillId="0" borderId="2" xfId="31" applyNumberFormat="1" applyFont="1" applyBorder="1"/>
    <xf numFmtId="3" fontId="84" fillId="0" borderId="1" xfId="31" applyNumberFormat="1" applyFont="1" applyBorder="1"/>
    <xf numFmtId="0" fontId="84" fillId="0" borderId="0" xfId="31" applyFont="1" applyAlignment="1">
      <alignment vertical="top"/>
    </xf>
    <xf numFmtId="0" fontId="83" fillId="0" borderId="13" xfId="31" applyFont="1" applyBorder="1" applyAlignment="1">
      <alignment horizontal="center" vertical="center"/>
    </xf>
    <xf numFmtId="49" fontId="83" fillId="0" borderId="2" xfId="31" applyNumberFormat="1" applyFont="1" applyBorder="1" applyAlignment="1">
      <alignment horizontal="center" vertical="center" wrapText="1"/>
    </xf>
    <xf numFmtId="0" fontId="83" fillId="0" borderId="2" xfId="31" applyFont="1" applyBorder="1" applyAlignment="1">
      <alignment horizontal="left" vertical="center"/>
    </xf>
    <xf numFmtId="3" fontId="83" fillId="0" borderId="2" xfId="31" applyNumberFormat="1" applyFont="1" applyBorder="1" applyAlignment="1">
      <alignment vertical="center"/>
    </xf>
    <xf numFmtId="0" fontId="83" fillId="0" borderId="2" xfId="31" applyFont="1" applyBorder="1" applyAlignment="1">
      <alignment horizontal="center" vertical="center"/>
    </xf>
    <xf numFmtId="0" fontId="83" fillId="0" borderId="0" xfId="31" applyFont="1" applyAlignment="1">
      <alignment horizontal="center" vertical="center"/>
    </xf>
    <xf numFmtId="0" fontId="83" fillId="0" borderId="8" xfId="31" applyFont="1" applyBorder="1" applyAlignment="1">
      <alignment horizontal="center" vertical="center"/>
    </xf>
    <xf numFmtId="49" fontId="85" fillId="0" borderId="16" xfId="31" applyNumberFormat="1" applyFont="1" applyBorder="1" applyAlignment="1">
      <alignment horizontal="center" vertical="center" wrapText="1"/>
    </xf>
    <xf numFmtId="0" fontId="85" fillId="0" borderId="17" xfId="31" applyFont="1" applyBorder="1" applyAlignment="1">
      <alignment horizontal="left" vertical="center"/>
    </xf>
    <xf numFmtId="3" fontId="85" fillId="0" borderId="16" xfId="31" applyNumberFormat="1" applyFont="1" applyBorder="1" applyAlignment="1">
      <alignment vertical="center"/>
    </xf>
    <xf numFmtId="0" fontId="83" fillId="0" borderId="16" xfId="31" applyFont="1" applyBorder="1" applyAlignment="1">
      <alignment horizontal="center" vertical="center"/>
    </xf>
    <xf numFmtId="0" fontId="83" fillId="0" borderId="18" xfId="31" applyFont="1" applyBorder="1" applyAlignment="1">
      <alignment horizontal="center" vertical="center"/>
    </xf>
    <xf numFmtId="49" fontId="85" fillId="0" borderId="19" xfId="31" applyNumberFormat="1" applyFont="1" applyBorder="1" applyAlignment="1">
      <alignment horizontal="center" vertical="top" wrapText="1"/>
    </xf>
    <xf numFmtId="0" fontId="85" fillId="0" borderId="20" xfId="31" applyFont="1" applyBorder="1" applyAlignment="1">
      <alignment horizontal="left" vertical="top" wrapText="1"/>
    </xf>
    <xf numFmtId="3" fontId="85" fillId="0" borderId="19" xfId="31" applyNumberFormat="1" applyFont="1" applyBorder="1" applyAlignment="1">
      <alignment vertical="center"/>
    </xf>
    <xf numFmtId="0" fontId="83" fillId="0" borderId="19" xfId="31" applyFont="1" applyBorder="1" applyAlignment="1">
      <alignment horizontal="center" vertical="center"/>
    </xf>
    <xf numFmtId="0" fontId="83" fillId="0" borderId="21" xfId="31" applyFont="1" applyBorder="1" applyAlignment="1">
      <alignment horizontal="center" vertical="center"/>
    </xf>
    <xf numFmtId="0" fontId="83" fillId="0" borderId="22" xfId="31" applyFont="1" applyBorder="1" applyAlignment="1">
      <alignment horizontal="center" vertical="center"/>
    </xf>
    <xf numFmtId="3" fontId="83" fillId="0" borderId="2" xfId="31" applyNumberFormat="1" applyFont="1" applyBorder="1" applyAlignment="1">
      <alignment horizontal="right" vertical="center"/>
    </xf>
    <xf numFmtId="3" fontId="83" fillId="0" borderId="8" xfId="31" applyNumberFormat="1" applyFont="1" applyBorder="1" applyAlignment="1">
      <alignment horizontal="right" vertical="center"/>
    </xf>
    <xf numFmtId="0" fontId="85" fillId="0" borderId="16" xfId="31" applyFont="1" applyBorder="1" applyAlignment="1">
      <alignment horizontal="center" vertical="center" wrapText="1"/>
    </xf>
    <xf numFmtId="3" fontId="85" fillId="0" borderId="16" xfId="31" applyNumberFormat="1" applyFont="1" applyBorder="1" applyAlignment="1">
      <alignment horizontal="right" vertical="center"/>
    </xf>
    <xf numFmtId="0" fontId="86" fillId="0" borderId="18" xfId="31" applyFont="1" applyBorder="1" applyAlignment="1">
      <alignment horizontal="right" vertical="center"/>
    </xf>
    <xf numFmtId="0" fontId="86" fillId="0" borderId="16" xfId="31" applyFont="1" applyBorder="1" applyAlignment="1">
      <alignment horizontal="right" vertical="center"/>
    </xf>
    <xf numFmtId="0" fontId="85" fillId="0" borderId="17" xfId="31" applyFont="1" applyBorder="1" applyAlignment="1">
      <alignment vertical="center"/>
    </xf>
    <xf numFmtId="0" fontId="85" fillId="0" borderId="17" xfId="31" applyFont="1" applyBorder="1" applyAlignment="1">
      <alignment vertical="center" wrapText="1"/>
    </xf>
    <xf numFmtId="0" fontId="85" fillId="0" borderId="17" xfId="31" applyFont="1" applyBorder="1" applyAlignment="1">
      <alignment horizontal="left" vertical="center" wrapText="1"/>
    </xf>
    <xf numFmtId="0" fontId="85" fillId="0" borderId="16" xfId="31" applyFont="1" applyBorder="1" applyAlignment="1">
      <alignment horizontal="center" vertical="top" wrapText="1"/>
    </xf>
    <xf numFmtId="0" fontId="85" fillId="0" borderId="17" xfId="31" applyFont="1" applyBorder="1" applyAlignment="1">
      <alignment horizontal="left" wrapText="1"/>
    </xf>
    <xf numFmtId="0" fontId="83" fillId="0" borderId="16" xfId="31" applyFont="1" applyBorder="1" applyAlignment="1">
      <alignment horizontal="center"/>
    </xf>
    <xf numFmtId="3" fontId="85" fillId="0" borderId="16" xfId="31" applyNumberFormat="1" applyFont="1" applyBorder="1" applyAlignment="1">
      <alignment horizontal="right"/>
    </xf>
    <xf numFmtId="0" fontId="83" fillId="0" borderId="23" xfId="31" applyFont="1" applyBorder="1" applyAlignment="1">
      <alignment horizontal="center" vertical="center"/>
    </xf>
    <xf numFmtId="0" fontId="84" fillId="0" borderId="12" xfId="31" applyFont="1" applyBorder="1" applyAlignment="1">
      <alignment horizontal="center" vertical="top"/>
    </xf>
    <xf numFmtId="0" fontId="84" fillId="0" borderId="7" xfId="31" applyFont="1" applyBorder="1" applyAlignment="1">
      <alignment wrapText="1"/>
    </xf>
    <xf numFmtId="3" fontId="84" fillId="0" borderId="1" xfId="31" applyNumberFormat="1" applyFont="1" applyBorder="1" applyAlignment="1"/>
    <xf numFmtId="0" fontId="83" fillId="0" borderId="13" xfId="31" applyFont="1" applyBorder="1" applyAlignment="1">
      <alignment horizontal="center" vertical="top"/>
    </xf>
    <xf numFmtId="0" fontId="83" fillId="0" borderId="2" xfId="31" applyFont="1" applyBorder="1" applyAlignment="1">
      <alignment horizontal="center" vertical="top" wrapText="1"/>
    </xf>
    <xf numFmtId="0" fontId="83" fillId="0" borderId="2" xfId="31" applyFont="1" applyBorder="1" applyAlignment="1">
      <alignment vertical="top" wrapText="1"/>
    </xf>
    <xf numFmtId="3" fontId="83" fillId="0" borderId="2" xfId="31" applyNumberFormat="1" applyFont="1" applyBorder="1" applyAlignment="1">
      <alignment vertical="top"/>
    </xf>
    <xf numFmtId="3" fontId="83" fillId="0" borderId="2" xfId="31" applyNumberFormat="1" applyFont="1" applyBorder="1" applyAlignment="1">
      <alignment horizontal="center" vertical="center"/>
    </xf>
    <xf numFmtId="3" fontId="83" fillId="0" borderId="0" xfId="31" applyNumberFormat="1" applyFont="1" applyAlignment="1">
      <alignment vertical="top"/>
    </xf>
    <xf numFmtId="3" fontId="83" fillId="0" borderId="8" xfId="31" applyNumberFormat="1" applyFont="1" applyBorder="1" applyAlignment="1">
      <alignment vertical="top"/>
    </xf>
    <xf numFmtId="0" fontId="87" fillId="0" borderId="13" xfId="31" applyFont="1" applyBorder="1" applyAlignment="1">
      <alignment horizontal="center" vertical="top"/>
    </xf>
    <xf numFmtId="49" fontId="85" fillId="0" borderId="22" xfId="31" applyNumberFormat="1" applyFont="1" applyBorder="1" applyAlignment="1">
      <alignment horizontal="center" vertical="top" wrapText="1"/>
    </xf>
    <xf numFmtId="0" fontId="85" fillId="0" borderId="21" xfId="31" applyFont="1" applyBorder="1" applyAlignment="1">
      <alignment wrapText="1"/>
    </xf>
    <xf numFmtId="3" fontId="85" fillId="0" borderId="22" xfId="31" applyNumberFormat="1" applyFont="1" applyBorder="1"/>
    <xf numFmtId="3" fontId="87" fillId="0" borderId="22" xfId="31" applyNumberFormat="1" applyFont="1" applyBorder="1" applyAlignment="1">
      <alignment horizontal="center"/>
    </xf>
    <xf numFmtId="3" fontId="87" fillId="0" borderId="21" xfId="31" applyNumberFormat="1" applyFont="1" applyBorder="1" applyAlignment="1">
      <alignment vertical="top"/>
    </xf>
    <xf numFmtId="3" fontId="87" fillId="0" borderId="22" xfId="31" applyNumberFormat="1" applyFont="1" applyBorder="1" applyAlignment="1">
      <alignment vertical="top"/>
    </xf>
    <xf numFmtId="3" fontId="87" fillId="0" borderId="0" xfId="31" applyNumberFormat="1" applyFont="1" applyAlignment="1">
      <alignment vertical="top"/>
    </xf>
    <xf numFmtId="0" fontId="87" fillId="0" borderId="0" xfId="31" applyFont="1" applyAlignment="1">
      <alignment vertical="top"/>
    </xf>
    <xf numFmtId="0" fontId="83" fillId="0" borderId="2" xfId="31" applyFont="1" applyBorder="1" applyAlignment="1">
      <alignment horizontal="center" vertical="top"/>
    </xf>
    <xf numFmtId="0" fontId="85" fillId="0" borderId="13" xfId="31" applyFont="1" applyBorder="1" applyAlignment="1">
      <alignment horizontal="center" vertical="center"/>
    </xf>
    <xf numFmtId="0" fontId="85" fillId="0" borderId="16" xfId="31" applyFont="1" applyBorder="1" applyAlignment="1">
      <alignment horizontal="center" vertical="center"/>
    </xf>
    <xf numFmtId="0" fontId="85" fillId="0" borderId="16" xfId="31" applyFont="1" applyBorder="1" applyAlignment="1">
      <alignment vertical="center" wrapText="1"/>
    </xf>
    <xf numFmtId="3" fontId="85" fillId="0" borderId="18" xfId="31" applyNumberFormat="1" applyFont="1" applyBorder="1" applyAlignment="1">
      <alignment vertical="center"/>
    </xf>
    <xf numFmtId="3" fontId="85" fillId="0" borderId="0" xfId="31" applyNumberFormat="1" applyFont="1" applyAlignment="1">
      <alignment vertical="center"/>
    </xf>
    <xf numFmtId="0" fontId="85" fillId="0" borderId="0" xfId="31" applyFont="1" applyAlignment="1">
      <alignment vertical="center"/>
    </xf>
    <xf numFmtId="0" fontId="85" fillId="0" borderId="19" xfId="31" applyFont="1" applyBorder="1" applyAlignment="1">
      <alignment horizontal="center" vertical="center"/>
    </xf>
    <xf numFmtId="0" fontId="85" fillId="0" borderId="19" xfId="31" applyFont="1" applyBorder="1" applyAlignment="1">
      <alignment vertical="center" wrapText="1"/>
    </xf>
    <xf numFmtId="3" fontId="85" fillId="0" borderId="8" xfId="31" applyNumberFormat="1" applyFont="1" applyBorder="1" applyAlignment="1">
      <alignment vertical="center"/>
    </xf>
    <xf numFmtId="0" fontId="83" fillId="0" borderId="2" xfId="31" applyFont="1" applyBorder="1" applyAlignment="1">
      <alignment wrapText="1"/>
    </xf>
    <xf numFmtId="3" fontId="83" fillId="0" borderId="2" xfId="31" applyNumberFormat="1" applyFont="1" applyBorder="1"/>
    <xf numFmtId="3" fontId="83" fillId="0" borderId="24" xfId="31" applyNumberFormat="1" applyFont="1" applyBorder="1" applyAlignment="1">
      <alignment horizontal="right"/>
    </xf>
    <xf numFmtId="3" fontId="83" fillId="0" borderId="25" xfId="31" applyNumberFormat="1" applyFont="1" applyBorder="1" applyAlignment="1">
      <alignment horizontal="right"/>
    </xf>
    <xf numFmtId="3" fontId="83" fillId="0" borderId="2" xfId="31" applyNumberFormat="1" applyFont="1" applyBorder="1" applyAlignment="1">
      <alignment horizontal="right"/>
    </xf>
    <xf numFmtId="0" fontId="85" fillId="0" borderId="13" xfId="31" applyFont="1" applyBorder="1" applyAlignment="1">
      <alignment horizontal="center" vertical="top"/>
    </xf>
    <xf numFmtId="0" fontId="85" fillId="0" borderId="22" xfId="31" applyFont="1" applyBorder="1" applyAlignment="1">
      <alignment horizontal="center" vertical="top"/>
    </xf>
    <xf numFmtId="3" fontId="85" fillId="0" borderId="21" xfId="31" applyNumberFormat="1" applyFont="1" applyBorder="1" applyAlignment="1">
      <alignment horizontal="right"/>
    </xf>
    <xf numFmtId="3" fontId="85" fillId="0" borderId="22" xfId="31" applyNumberFormat="1" applyFont="1" applyBorder="1" applyAlignment="1">
      <alignment horizontal="right"/>
    </xf>
    <xf numFmtId="3" fontId="85" fillId="0" borderId="0" xfId="31" applyNumberFormat="1" applyFont="1" applyAlignment="1">
      <alignment vertical="top"/>
    </xf>
    <xf numFmtId="0" fontId="85" fillId="0" borderId="0" xfId="31" applyFont="1" applyAlignment="1">
      <alignment vertical="top"/>
    </xf>
    <xf numFmtId="0" fontId="83" fillId="0" borderId="8" xfId="31" applyFont="1" applyBorder="1" applyAlignment="1">
      <alignment horizontal="center" vertical="top"/>
    </xf>
    <xf numFmtId="3" fontId="83" fillId="0" borderId="22" xfId="31" applyNumberFormat="1" applyFont="1" applyBorder="1"/>
    <xf numFmtId="3" fontId="83" fillId="0" borderId="21" xfId="31" applyNumberFormat="1" applyFont="1" applyBorder="1" applyAlignment="1">
      <alignment horizontal="right"/>
    </xf>
    <xf numFmtId="3" fontId="83" fillId="0" borderId="22" xfId="31" applyNumberFormat="1" applyFont="1" applyBorder="1" applyAlignment="1">
      <alignment horizontal="right"/>
    </xf>
    <xf numFmtId="3" fontId="83" fillId="0" borderId="12" xfId="31" applyNumberFormat="1" applyFont="1" applyBorder="1" applyAlignment="1">
      <alignment horizontal="right"/>
    </xf>
    <xf numFmtId="0" fontId="83" fillId="0" borderId="15" xfId="31" applyFont="1" applyBorder="1" applyAlignment="1">
      <alignment horizontal="center" vertical="top"/>
    </xf>
    <xf numFmtId="3" fontId="83" fillId="0" borderId="15" xfId="31" applyNumberFormat="1" applyFont="1" applyBorder="1" applyAlignment="1">
      <alignment horizontal="right"/>
    </xf>
    <xf numFmtId="3" fontId="83" fillId="0" borderId="4" xfId="31" applyNumberFormat="1" applyFont="1" applyBorder="1" applyAlignment="1">
      <alignment horizontal="right"/>
    </xf>
    <xf numFmtId="0" fontId="83" fillId="0" borderId="12" xfId="31" applyFont="1" applyBorder="1" applyAlignment="1">
      <alignment horizontal="center" vertical="top"/>
    </xf>
    <xf numFmtId="0" fontId="85" fillId="0" borderId="16" xfId="31" applyFont="1" applyBorder="1" applyAlignment="1">
      <alignment horizontal="center" vertical="top"/>
    </xf>
    <xf numFmtId="0" fontId="85" fillId="0" borderId="18" xfId="31" applyFont="1" applyBorder="1" applyAlignment="1">
      <alignment wrapText="1"/>
    </xf>
    <xf numFmtId="3" fontId="83" fillId="0" borderId="16" xfId="31" applyNumberFormat="1" applyFont="1" applyBorder="1"/>
    <xf numFmtId="3" fontId="85" fillId="0" borderId="16" xfId="31" applyNumberFormat="1" applyFont="1" applyBorder="1"/>
    <xf numFmtId="3" fontId="83" fillId="0" borderId="18" xfId="31" applyNumberFormat="1" applyFont="1" applyBorder="1" applyAlignment="1">
      <alignment horizontal="right"/>
    </xf>
    <xf numFmtId="3" fontId="83" fillId="0" borderId="16" xfId="31" applyNumberFormat="1" applyFont="1" applyBorder="1" applyAlignment="1">
      <alignment horizontal="right"/>
    </xf>
    <xf numFmtId="0" fontId="85" fillId="0" borderId="18" xfId="31" applyFont="1" applyBorder="1" applyAlignment="1">
      <alignment vertical="top" wrapText="1"/>
    </xf>
    <xf numFmtId="3" fontId="83" fillId="0" borderId="16" xfId="31" applyNumberFormat="1" applyFont="1" applyBorder="1" applyAlignment="1">
      <alignment vertical="top"/>
    </xf>
    <xf numFmtId="3" fontId="85" fillId="0" borderId="16" xfId="31" applyNumberFormat="1" applyFont="1" applyBorder="1" applyAlignment="1">
      <alignment vertical="top"/>
    </xf>
    <xf numFmtId="0" fontId="85" fillId="0" borderId="21" xfId="31" applyFont="1" applyBorder="1" applyAlignment="1">
      <alignment vertical="top" wrapText="1"/>
    </xf>
    <xf numFmtId="3" fontId="83" fillId="0" borderId="22" xfId="31" applyNumberFormat="1" applyFont="1" applyBorder="1" applyAlignment="1">
      <alignment vertical="top"/>
    </xf>
    <xf numFmtId="3" fontId="85" fillId="0" borderId="22" xfId="31" applyNumberFormat="1" applyFont="1" applyBorder="1" applyAlignment="1">
      <alignment vertical="top"/>
    </xf>
    <xf numFmtId="3" fontId="84" fillId="0" borderId="9" xfId="31" applyNumberFormat="1" applyFont="1" applyBorder="1" applyAlignment="1">
      <alignment horizontal="center"/>
    </xf>
    <xf numFmtId="0" fontId="84" fillId="0" borderId="6" xfId="31" applyFont="1" applyBorder="1" applyAlignment="1">
      <alignment wrapText="1"/>
    </xf>
    <xf numFmtId="3" fontId="84" fillId="0" borderId="1" xfId="31" applyNumberFormat="1" applyFont="1" applyBorder="1" applyAlignment="1">
      <alignment horizontal="right"/>
    </xf>
    <xf numFmtId="3" fontId="84" fillId="0" borderId="0" xfId="31" applyNumberFormat="1" applyFont="1" applyAlignment="1"/>
    <xf numFmtId="0" fontId="84" fillId="0" borderId="0" xfId="31" applyFont="1" applyAlignment="1"/>
    <xf numFmtId="0" fontId="83" fillId="0" borderId="25" xfId="31" applyFont="1" applyBorder="1" applyAlignment="1">
      <alignment horizontal="center" vertical="top"/>
    </xf>
    <xf numFmtId="0" fontId="83" fillId="0" borderId="25" xfId="31" applyFont="1" applyBorder="1" applyAlignment="1">
      <alignment vertical="top"/>
    </xf>
    <xf numFmtId="3" fontId="83" fillId="0" borderId="25" xfId="31" applyNumberFormat="1" applyFont="1" applyBorder="1" applyAlignment="1">
      <alignment vertical="top"/>
    </xf>
    <xf numFmtId="0" fontId="85" fillId="0" borderId="22" xfId="31" applyFont="1" applyBorder="1" applyAlignment="1">
      <alignment vertical="top"/>
    </xf>
    <xf numFmtId="0" fontId="83" fillId="0" borderId="26" xfId="31" applyFont="1" applyBorder="1" applyAlignment="1">
      <alignment vertical="top"/>
    </xf>
    <xf numFmtId="3" fontId="83" fillId="0" borderId="26" xfId="31" applyNumberFormat="1" applyFont="1" applyBorder="1" applyAlignment="1">
      <alignment vertical="top"/>
    </xf>
    <xf numFmtId="0" fontId="85" fillId="0" borderId="16" xfId="31" applyFont="1" applyBorder="1" applyAlignment="1">
      <alignment vertical="top"/>
    </xf>
    <xf numFmtId="3" fontId="86" fillId="0" borderId="18" xfId="31" applyNumberFormat="1" applyFont="1" applyBorder="1" applyAlignment="1">
      <alignment horizontal="right"/>
    </xf>
    <xf numFmtId="3" fontId="86" fillId="0" borderId="16" xfId="31" applyNumberFormat="1" applyFont="1" applyBorder="1" applyAlignment="1">
      <alignment horizontal="right"/>
    </xf>
    <xf numFmtId="0" fontId="85" fillId="0" borderId="16" xfId="31" applyFont="1" applyBorder="1" applyAlignment="1">
      <alignment vertical="top" wrapText="1"/>
    </xf>
    <xf numFmtId="0" fontId="85" fillId="0" borderId="22" xfId="31" applyFont="1" applyBorder="1" applyAlignment="1">
      <alignment wrapText="1"/>
    </xf>
    <xf numFmtId="3" fontId="83" fillId="0" borderId="8" xfId="31" applyNumberFormat="1" applyFont="1" applyBorder="1"/>
    <xf numFmtId="3" fontId="85" fillId="0" borderId="8" xfId="31" applyNumberFormat="1" applyFont="1" applyBorder="1"/>
    <xf numFmtId="3" fontId="84" fillId="0" borderId="12" xfId="31" applyNumberFormat="1" applyFont="1" applyBorder="1" applyAlignment="1">
      <alignment horizontal="center" vertical="top"/>
    </xf>
    <xf numFmtId="3" fontId="84" fillId="0" borderId="9" xfId="31" applyNumberFormat="1" applyFont="1" applyBorder="1" applyAlignment="1">
      <alignment horizontal="center" vertical="top"/>
    </xf>
    <xf numFmtId="3" fontId="84" fillId="0" borderId="10" xfId="31" applyNumberFormat="1" applyFont="1" applyBorder="1" applyAlignment="1">
      <alignment wrapText="1"/>
    </xf>
    <xf numFmtId="3" fontId="84" fillId="0" borderId="2" xfId="31" applyNumberFormat="1" applyFont="1" applyBorder="1" applyAlignment="1">
      <alignment horizontal="right"/>
    </xf>
    <xf numFmtId="3" fontId="84" fillId="0" borderId="0" xfId="31" applyNumberFormat="1" applyFont="1" applyAlignment="1">
      <alignment vertical="top"/>
    </xf>
    <xf numFmtId="0" fontId="85" fillId="0" borderId="27" xfId="31" applyFont="1" applyBorder="1" applyAlignment="1">
      <alignment horizontal="left" vertical="center"/>
    </xf>
    <xf numFmtId="0" fontId="83" fillId="0" borderId="26" xfId="31" applyFont="1" applyBorder="1" applyAlignment="1">
      <alignment horizontal="center" vertical="top"/>
    </xf>
    <xf numFmtId="0" fontId="85" fillId="0" borderId="19" xfId="31" applyFont="1" applyBorder="1" applyAlignment="1">
      <alignment horizontal="center" vertical="top"/>
    </xf>
    <xf numFmtId="3" fontId="83" fillId="0" borderId="19" xfId="31" applyNumberFormat="1" applyFont="1" applyBorder="1" applyAlignment="1">
      <alignment vertical="top"/>
    </xf>
    <xf numFmtId="3" fontId="85" fillId="0" borderId="19" xfId="31" applyNumberFormat="1" applyFont="1" applyBorder="1" applyAlignment="1">
      <alignment vertical="top"/>
    </xf>
    <xf numFmtId="3" fontId="85" fillId="0" borderId="19" xfId="31" applyNumberFormat="1" applyFont="1" applyBorder="1" applyAlignment="1">
      <alignment horizontal="right"/>
    </xf>
    <xf numFmtId="0" fontId="84" fillId="0" borderId="0" xfId="31" applyFont="1" applyAlignment="1">
      <alignment wrapText="1"/>
    </xf>
    <xf numFmtId="3" fontId="84" fillId="0" borderId="8" xfId="31" applyNumberFormat="1" applyFont="1" applyBorder="1"/>
    <xf numFmtId="0" fontId="83" fillId="0" borderId="24" xfId="31" applyFont="1" applyBorder="1" applyAlignment="1">
      <alignment wrapText="1"/>
    </xf>
    <xf numFmtId="3" fontId="83" fillId="0" borderId="25" xfId="31" applyNumberFormat="1" applyFont="1" applyBorder="1"/>
    <xf numFmtId="0" fontId="83" fillId="0" borderId="23" xfId="31" applyFont="1" applyBorder="1" applyAlignment="1">
      <alignment wrapText="1"/>
    </xf>
    <xf numFmtId="3" fontId="83" fillId="0" borderId="26" xfId="31" applyNumberFormat="1" applyFont="1" applyBorder="1"/>
    <xf numFmtId="0" fontId="85" fillId="0" borderId="16" xfId="31" applyFont="1" applyBorder="1" applyAlignment="1">
      <alignment vertical="center"/>
    </xf>
    <xf numFmtId="3" fontId="83" fillId="0" borderId="16" xfId="31" applyNumberFormat="1" applyFont="1" applyBorder="1" applyAlignment="1">
      <alignment vertical="center"/>
    </xf>
    <xf numFmtId="3" fontId="83" fillId="0" borderId="0" xfId="31" applyNumberFormat="1" applyFont="1" applyAlignment="1">
      <alignment vertical="center"/>
    </xf>
    <xf numFmtId="0" fontId="83" fillId="0" borderId="0" xfId="31" applyFont="1" applyAlignment="1">
      <alignment vertical="center"/>
    </xf>
    <xf numFmtId="0" fontId="85" fillId="0" borderId="20" xfId="31" applyFont="1" applyBorder="1" applyAlignment="1">
      <alignment horizontal="left" vertical="center" wrapText="1"/>
    </xf>
    <xf numFmtId="3" fontId="83" fillId="0" borderId="19" xfId="31" applyNumberFormat="1" applyFont="1" applyBorder="1" applyAlignment="1">
      <alignment vertical="center"/>
    </xf>
    <xf numFmtId="3" fontId="86" fillId="0" borderId="19" xfId="31" applyNumberFormat="1" applyFont="1" applyBorder="1" applyAlignment="1">
      <alignment horizontal="right"/>
    </xf>
    <xf numFmtId="0" fontId="85" fillId="0" borderId="8" xfId="31" applyFont="1" applyBorder="1" applyAlignment="1">
      <alignment horizontal="center" vertical="top"/>
    </xf>
    <xf numFmtId="0" fontId="85" fillId="0" borderId="19" xfId="31" applyFont="1" applyBorder="1" applyAlignment="1">
      <alignment vertical="top" wrapText="1"/>
    </xf>
    <xf numFmtId="3" fontId="85" fillId="0" borderId="8" xfId="31" applyNumberFormat="1" applyFont="1" applyBorder="1" applyAlignment="1">
      <alignment vertical="top"/>
    </xf>
    <xf numFmtId="3" fontId="83" fillId="0" borderId="28" xfId="31" applyNumberFormat="1" applyFont="1" applyBorder="1" applyAlignment="1">
      <alignment horizontal="right"/>
    </xf>
    <xf numFmtId="3" fontId="83" fillId="0" borderId="19" xfId="31" applyNumberFormat="1" applyFont="1" applyBorder="1" applyAlignment="1">
      <alignment horizontal="right"/>
    </xf>
    <xf numFmtId="3" fontId="86" fillId="0" borderId="8" xfId="31" applyNumberFormat="1" applyFont="1" applyBorder="1" applyAlignment="1">
      <alignment horizontal="right"/>
    </xf>
    <xf numFmtId="0" fontId="83" fillId="0" borderId="28" xfId="31" applyFont="1" applyBorder="1" applyAlignment="1">
      <alignment horizontal="center" vertical="top"/>
    </xf>
    <xf numFmtId="3" fontId="83" fillId="0" borderId="20" xfId="31" applyNumberFormat="1" applyFont="1" applyBorder="1" applyAlignment="1">
      <alignment horizontal="right"/>
    </xf>
    <xf numFmtId="3" fontId="86" fillId="0" borderId="26" xfId="31" applyNumberFormat="1" applyFont="1" applyBorder="1" applyAlignment="1">
      <alignment horizontal="right"/>
    </xf>
    <xf numFmtId="0" fontId="84" fillId="0" borderId="10" xfId="31" applyFont="1" applyBorder="1" applyAlignment="1">
      <alignment wrapText="1"/>
    </xf>
    <xf numFmtId="3" fontId="83" fillId="0" borderId="0" xfId="31" applyNumberFormat="1" applyFont="1" applyAlignment="1">
      <alignment horizontal="right"/>
    </xf>
    <xf numFmtId="3" fontId="83" fillId="0" borderId="8" xfId="31" applyNumberFormat="1" applyFont="1" applyBorder="1" applyAlignment="1">
      <alignment horizontal="right"/>
    </xf>
    <xf numFmtId="49" fontId="85" fillId="0" borderId="22" xfId="31" applyNumberFormat="1" applyFont="1" applyBorder="1" applyAlignment="1">
      <alignment horizontal="center" vertical="center" wrapText="1"/>
    </xf>
    <xf numFmtId="0" fontId="85" fillId="0" borderId="21" xfId="31" applyFont="1" applyBorder="1" applyAlignment="1">
      <alignment vertical="center" wrapText="1"/>
    </xf>
    <xf numFmtId="3" fontId="85" fillId="0" borderId="22" xfId="31" applyNumberFormat="1" applyFont="1" applyBorder="1" applyAlignment="1">
      <alignment vertical="center"/>
    </xf>
    <xf numFmtId="3" fontId="83" fillId="0" borderId="22" xfId="31" applyNumberFormat="1" applyFont="1" applyBorder="1" applyAlignment="1">
      <alignment vertical="center"/>
    </xf>
    <xf numFmtId="0" fontId="85" fillId="0" borderId="4" xfId="31" applyFont="1" applyBorder="1" applyAlignment="1">
      <alignment horizontal="center" vertical="top"/>
    </xf>
    <xf numFmtId="3" fontId="83" fillId="0" borderId="4" xfId="31" applyNumberFormat="1" applyFont="1" applyBorder="1" applyAlignment="1">
      <alignment vertical="top"/>
    </xf>
    <xf numFmtId="3" fontId="85" fillId="0" borderId="4" xfId="31" applyNumberFormat="1" applyFont="1" applyBorder="1" applyAlignment="1">
      <alignment vertical="top"/>
    </xf>
    <xf numFmtId="0" fontId="83" fillId="0" borderId="25" xfId="31" applyFont="1" applyBorder="1" applyAlignment="1">
      <alignment wrapText="1"/>
    </xf>
    <xf numFmtId="0" fontId="83" fillId="0" borderId="26" xfId="31" applyFont="1" applyBorder="1" applyAlignment="1">
      <alignment wrapText="1"/>
    </xf>
    <xf numFmtId="0" fontId="83" fillId="0" borderId="15" xfId="31" applyFont="1" applyBorder="1" applyAlignment="1">
      <alignment horizontal="center" vertical="center"/>
    </xf>
    <xf numFmtId="0" fontId="85" fillId="0" borderId="22" xfId="31" applyFont="1" applyBorder="1" applyAlignment="1">
      <alignment horizontal="center" vertical="center"/>
    </xf>
    <xf numFmtId="3" fontId="84" fillId="0" borderId="9" xfId="31" applyNumberFormat="1" applyFont="1" applyBorder="1" applyAlignment="1">
      <alignment horizontal="right"/>
    </xf>
    <xf numFmtId="0" fontId="83" fillId="0" borderId="23" xfId="31" applyFont="1" applyBorder="1" applyAlignment="1">
      <alignment vertical="top" wrapText="1"/>
    </xf>
    <xf numFmtId="0" fontId="84" fillId="0" borderId="9" xfId="31" applyFont="1" applyBorder="1" applyAlignment="1">
      <alignment horizontal="center"/>
    </xf>
    <xf numFmtId="0" fontId="83" fillId="0" borderId="24" xfId="31" applyFont="1" applyBorder="1" applyAlignment="1">
      <alignment vertical="top"/>
    </xf>
    <xf numFmtId="3" fontId="85" fillId="0" borderId="4" xfId="31" applyNumberFormat="1" applyFont="1" applyBorder="1" applyAlignment="1">
      <alignment vertical="center"/>
    </xf>
    <xf numFmtId="3" fontId="83" fillId="0" borderId="4" xfId="31" applyNumberFormat="1" applyFont="1" applyBorder="1" applyAlignment="1">
      <alignment vertical="center"/>
    </xf>
    <xf numFmtId="0" fontId="83" fillId="0" borderId="23" xfId="31" applyFont="1" applyBorder="1" applyAlignment="1">
      <alignment vertical="top"/>
    </xf>
    <xf numFmtId="0" fontId="85" fillId="0" borderId="19" xfId="31" applyFont="1" applyBorder="1" applyAlignment="1">
      <alignment vertical="center"/>
    </xf>
    <xf numFmtId="0" fontId="85" fillId="0" borderId="26" xfId="31" applyFont="1" applyBorder="1" applyAlignment="1">
      <alignment horizontal="center" vertical="center"/>
    </xf>
    <xf numFmtId="0" fontId="85" fillId="0" borderId="26" xfId="31" applyFont="1" applyBorder="1" applyAlignment="1">
      <alignment vertical="center" wrapText="1"/>
    </xf>
    <xf numFmtId="3" fontId="83" fillId="0" borderId="26" xfId="31" applyNumberFormat="1" applyFont="1" applyBorder="1" applyAlignment="1">
      <alignment vertical="center"/>
    </xf>
    <xf numFmtId="3" fontId="85" fillId="0" borderId="26" xfId="31" applyNumberFormat="1" applyFont="1" applyBorder="1" applyAlignment="1">
      <alignment vertical="center"/>
    </xf>
    <xf numFmtId="0" fontId="85" fillId="0" borderId="19" xfId="31" applyFont="1" applyBorder="1" applyAlignment="1">
      <alignment wrapText="1"/>
    </xf>
    <xf numFmtId="3" fontId="83" fillId="0" borderId="19" xfId="31" applyNumberFormat="1" applyFont="1" applyBorder="1"/>
    <xf numFmtId="3" fontId="85" fillId="0" borderId="19" xfId="31" applyNumberFormat="1" applyFont="1" applyBorder="1"/>
    <xf numFmtId="3" fontId="86" fillId="0" borderId="28" xfId="31" applyNumberFormat="1" applyFont="1" applyBorder="1" applyAlignment="1">
      <alignment horizontal="right"/>
    </xf>
    <xf numFmtId="0" fontId="83" fillId="0" borderId="4" xfId="31" applyFont="1" applyBorder="1" applyAlignment="1">
      <alignment horizontal="center" vertical="top"/>
    </xf>
    <xf numFmtId="3" fontId="86" fillId="0" borderId="21" xfId="31" applyNumberFormat="1" applyFont="1" applyBorder="1" applyAlignment="1">
      <alignment horizontal="right" vertical="top"/>
    </xf>
    <xf numFmtId="3" fontId="86" fillId="0" borderId="22" xfId="31" applyNumberFormat="1" applyFont="1" applyBorder="1" applyAlignment="1">
      <alignment horizontal="right" vertical="top"/>
    </xf>
    <xf numFmtId="3" fontId="85" fillId="0" borderId="22" xfId="31" applyNumberFormat="1" applyFont="1" applyBorder="1" applyAlignment="1">
      <alignment horizontal="right" vertical="top"/>
    </xf>
    <xf numFmtId="3" fontId="84" fillId="0" borderId="1" xfId="31" applyNumberFormat="1" applyFont="1" applyBorder="1" applyAlignment="1">
      <alignment vertical="center"/>
    </xf>
    <xf numFmtId="3" fontId="84" fillId="0" borderId="1" xfId="31" applyNumberFormat="1" applyFont="1" applyBorder="1" applyAlignment="1">
      <alignment horizontal="right" vertical="center"/>
    </xf>
    <xf numFmtId="49" fontId="7" fillId="0" borderId="9" xfId="17" applyNumberFormat="1" applyFont="1" applyFill="1" applyBorder="1" applyAlignment="1">
      <alignment horizontal="center" vertical="center" wrapText="1"/>
    </xf>
    <xf numFmtId="49" fontId="7" fillId="0" borderId="6" xfId="17" applyNumberFormat="1" applyFont="1" applyFill="1" applyBorder="1" applyAlignment="1">
      <alignment horizontal="center" vertical="center" wrapText="1"/>
    </xf>
    <xf numFmtId="49" fontId="7" fillId="0" borderId="7" xfId="17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top" wrapText="1"/>
    </xf>
    <xf numFmtId="0" fontId="18" fillId="0" borderId="1" xfId="27" applyFont="1" applyFill="1" applyBorder="1" applyAlignment="1">
      <alignment horizontal="center" vertical="center" wrapText="1"/>
    </xf>
    <xf numFmtId="0" fontId="74" fillId="0" borderId="1" xfId="27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58" fillId="0" borderId="12" xfId="19" applyFont="1" applyFill="1" applyBorder="1" applyAlignment="1">
      <alignment horizontal="left" vertical="center" wrapText="1"/>
    </xf>
    <xf numFmtId="0" fontId="58" fillId="0" borderId="3" xfId="19" applyFont="1" applyFill="1" applyBorder="1" applyAlignment="1">
      <alignment horizontal="left" vertical="center" wrapText="1"/>
    </xf>
    <xf numFmtId="3" fontId="15" fillId="0" borderId="0" xfId="19" applyNumberFormat="1" applyFont="1" applyFill="1" applyAlignment="1">
      <alignment horizontal="left" vertical="center"/>
    </xf>
    <xf numFmtId="3" fontId="44" fillId="0" borderId="6" xfId="19" applyNumberFormat="1" applyFont="1" applyFill="1" applyBorder="1" applyAlignment="1">
      <alignment horizontal="center" vertical="top" wrapText="1"/>
    </xf>
    <xf numFmtId="3" fontId="44" fillId="0" borderId="7" xfId="19" applyNumberFormat="1" applyFont="1" applyFill="1" applyBorder="1" applyAlignment="1">
      <alignment horizontal="center" vertical="top" wrapText="1"/>
    </xf>
    <xf numFmtId="3" fontId="15" fillId="0" borderId="0" xfId="19" applyNumberFormat="1" applyFont="1" applyFill="1" applyAlignment="1" applyProtection="1">
      <alignment horizontal="left" wrapText="1"/>
    </xf>
    <xf numFmtId="0" fontId="18" fillId="0" borderId="2" xfId="19" applyFont="1" applyFill="1" applyBorder="1" applyAlignment="1">
      <alignment horizontal="center" vertical="top" wrapText="1"/>
    </xf>
    <xf numFmtId="0" fontId="17" fillId="0" borderId="7" xfId="19" applyFont="1" applyFill="1" applyBorder="1" applyAlignment="1">
      <alignment horizontal="center" vertical="center" wrapText="1"/>
    </xf>
    <xf numFmtId="0" fontId="84" fillId="0" borderId="4" xfId="31" applyFont="1" applyBorder="1" applyAlignment="1">
      <alignment horizontal="center" vertical="center" wrapText="1"/>
    </xf>
    <xf numFmtId="0" fontId="84" fillId="0" borderId="9" xfId="31" applyFont="1" applyBorder="1" applyAlignment="1">
      <alignment horizontal="center" vertical="top"/>
    </xf>
    <xf numFmtId="49" fontId="7" fillId="0" borderId="2" xfId="17" applyNumberFormat="1" applyFont="1" applyFill="1" applyBorder="1" applyAlignment="1">
      <alignment horizontal="center" vertical="center"/>
    </xf>
    <xf numFmtId="49" fontId="7" fillId="0" borderId="8" xfId="17" applyNumberFormat="1" applyFont="1" applyFill="1" applyBorder="1" applyAlignment="1">
      <alignment horizontal="center" vertical="center"/>
    </xf>
    <xf numFmtId="49" fontId="7" fillId="0" borderId="4" xfId="17" applyNumberFormat="1" applyFont="1" applyFill="1" applyBorder="1" applyAlignment="1">
      <alignment horizontal="center" vertical="center"/>
    </xf>
    <xf numFmtId="49" fontId="7" fillId="0" borderId="2" xfId="17" applyNumberFormat="1" applyFont="1" applyFill="1" applyBorder="1" applyAlignment="1">
      <alignment horizontal="left" vertical="center" wrapText="1"/>
    </xf>
    <xf numFmtId="49" fontId="7" fillId="0" borderId="8" xfId="17" applyNumberFormat="1" applyFont="1" applyFill="1" applyBorder="1" applyAlignment="1">
      <alignment horizontal="left" vertical="center" wrapText="1"/>
    </xf>
    <xf numFmtId="49" fontId="7" fillId="0" borderId="4" xfId="17" applyNumberFormat="1" applyFont="1" applyFill="1" applyBorder="1" applyAlignment="1">
      <alignment horizontal="left" vertical="center" wrapText="1"/>
    </xf>
    <xf numFmtId="49" fontId="31" fillId="5" borderId="12" xfId="17" applyNumberFormat="1" applyFont="1" applyFill="1" applyBorder="1" applyAlignment="1">
      <alignment horizontal="center" vertical="center"/>
    </xf>
    <xf numFmtId="49" fontId="31" fillId="5" borderId="10" xfId="17" applyNumberFormat="1" applyFont="1" applyFill="1" applyBorder="1" applyAlignment="1">
      <alignment horizontal="center" vertical="center"/>
    </xf>
    <xf numFmtId="49" fontId="31" fillId="5" borderId="13" xfId="17" applyNumberFormat="1" applyFont="1" applyFill="1" applyBorder="1" applyAlignment="1">
      <alignment horizontal="center" vertical="center"/>
    </xf>
    <xf numFmtId="49" fontId="31" fillId="5" borderId="14" xfId="17" applyNumberFormat="1" applyFont="1" applyFill="1" applyBorder="1" applyAlignment="1">
      <alignment horizontal="center" vertical="center"/>
    </xf>
    <xf numFmtId="49" fontId="31" fillId="5" borderId="15" xfId="17" applyNumberFormat="1" applyFont="1" applyFill="1" applyBorder="1" applyAlignment="1">
      <alignment horizontal="center" vertical="center"/>
    </xf>
    <xf numFmtId="49" fontId="31" fillId="5" borderId="11" xfId="17" applyNumberFormat="1" applyFont="1" applyFill="1" applyBorder="1" applyAlignment="1">
      <alignment horizontal="center" vertical="center"/>
    </xf>
    <xf numFmtId="49" fontId="7" fillId="0" borderId="2" xfId="17" applyNumberFormat="1" applyFont="1" applyFill="1" applyBorder="1" applyAlignment="1">
      <alignment horizontal="center" vertical="center" wrapText="1"/>
    </xf>
    <xf numFmtId="49" fontId="7" fillId="0" borderId="8" xfId="17" applyNumberFormat="1" applyFont="1" applyFill="1" applyBorder="1" applyAlignment="1">
      <alignment horizontal="center" vertical="center" wrapText="1"/>
    </xf>
    <xf numFmtId="49" fontId="7" fillId="0" borderId="4" xfId="17" applyNumberFormat="1" applyFont="1" applyFill="1" applyBorder="1" applyAlignment="1">
      <alignment horizontal="center" vertical="center" wrapText="1"/>
    </xf>
    <xf numFmtId="49" fontId="7" fillId="0" borderId="1" xfId="17" applyNumberFormat="1" applyFont="1" applyFill="1" applyBorder="1" applyAlignment="1">
      <alignment horizontal="center" vertical="center" wrapText="1"/>
    </xf>
    <xf numFmtId="3" fontId="7" fillId="0" borderId="1" xfId="17" applyNumberFormat="1" applyFont="1" applyFill="1" applyBorder="1" applyAlignment="1">
      <alignment horizontal="left" vertical="center" wrapText="1"/>
    </xf>
    <xf numFmtId="49" fontId="7" fillId="0" borderId="9" xfId="17" applyNumberFormat="1" applyFont="1" applyFill="1" applyBorder="1" applyAlignment="1">
      <alignment horizontal="center" vertical="center" wrapText="1"/>
    </xf>
    <xf numFmtId="49" fontId="7" fillId="0" borderId="6" xfId="17" applyNumberFormat="1" applyFont="1" applyFill="1" applyBorder="1" applyAlignment="1">
      <alignment horizontal="center" vertical="center" wrapText="1"/>
    </xf>
    <xf numFmtId="49" fontId="7" fillId="0" borderId="7" xfId="17" applyNumberFormat="1" applyFont="1" applyFill="1" applyBorder="1" applyAlignment="1">
      <alignment horizontal="center" vertical="center" wrapText="1"/>
    </xf>
    <xf numFmtId="49" fontId="30" fillId="5" borderId="12" xfId="17" applyNumberFormat="1" applyFont="1" applyFill="1" applyBorder="1" applyAlignment="1">
      <alignment horizontal="center" vertical="center" wrapText="1"/>
    </xf>
    <xf numFmtId="49" fontId="30" fillId="5" borderId="13" xfId="17" applyNumberFormat="1" applyFont="1" applyFill="1" applyBorder="1" applyAlignment="1">
      <alignment horizontal="center" vertical="center" wrapText="1"/>
    </xf>
    <xf numFmtId="49" fontId="30" fillId="5" borderId="15" xfId="17" applyNumberFormat="1" applyFont="1" applyFill="1" applyBorder="1" applyAlignment="1">
      <alignment horizontal="center" vertical="center" wrapText="1"/>
    </xf>
    <xf numFmtId="3" fontId="34" fillId="5" borderId="10" xfId="17" applyNumberFormat="1" applyFont="1" applyFill="1" applyBorder="1" applyAlignment="1">
      <alignment horizontal="left" vertical="center" wrapText="1"/>
    </xf>
    <xf numFmtId="3" fontId="34" fillId="5" borderId="14" xfId="17" applyNumberFormat="1" applyFont="1" applyFill="1" applyBorder="1" applyAlignment="1">
      <alignment horizontal="left" vertical="center" wrapText="1"/>
    </xf>
    <xf numFmtId="3" fontId="34" fillId="5" borderId="11" xfId="17" applyNumberFormat="1" applyFont="1" applyFill="1" applyBorder="1" applyAlignment="1">
      <alignment horizontal="left" vertical="center" wrapText="1"/>
    </xf>
    <xf numFmtId="3" fontId="7" fillId="0" borderId="2" xfId="17" applyNumberFormat="1" applyFont="1" applyFill="1" applyBorder="1" applyAlignment="1">
      <alignment horizontal="left" vertical="center" wrapText="1"/>
    </xf>
    <xf numFmtId="3" fontId="7" fillId="0" borderId="8" xfId="17" applyNumberFormat="1" applyFont="1" applyFill="1" applyBorder="1" applyAlignment="1">
      <alignment horizontal="left" vertical="center" wrapText="1"/>
    </xf>
    <xf numFmtId="3" fontId="7" fillId="0" borderId="4" xfId="17" applyNumberFormat="1" applyFont="1" applyFill="1" applyBorder="1" applyAlignment="1">
      <alignment horizontal="left" vertical="center" wrapText="1"/>
    </xf>
    <xf numFmtId="3" fontId="34" fillId="5" borderId="12" xfId="17" applyNumberFormat="1" applyFont="1" applyFill="1" applyBorder="1" applyAlignment="1">
      <alignment horizontal="center" vertical="center" wrapText="1"/>
    </xf>
    <xf numFmtId="3" fontId="34" fillId="5" borderId="10" xfId="17" applyNumberFormat="1" applyFont="1" applyFill="1" applyBorder="1" applyAlignment="1">
      <alignment horizontal="center" vertical="center" wrapText="1"/>
    </xf>
    <xf numFmtId="3" fontId="34" fillId="5" borderId="13" xfId="17" applyNumberFormat="1" applyFont="1" applyFill="1" applyBorder="1" applyAlignment="1">
      <alignment horizontal="center" vertical="center" wrapText="1"/>
    </xf>
    <xf numFmtId="3" fontId="34" fillId="5" borderId="14" xfId="17" applyNumberFormat="1" applyFont="1" applyFill="1" applyBorder="1" applyAlignment="1">
      <alignment horizontal="center" vertical="center" wrapText="1"/>
    </xf>
    <xf numFmtId="3" fontId="34" fillId="5" borderId="15" xfId="17" applyNumberFormat="1" applyFont="1" applyFill="1" applyBorder="1" applyAlignment="1">
      <alignment horizontal="center" vertical="center" wrapText="1"/>
    </xf>
    <xf numFmtId="3" fontId="34" fillId="5" borderId="11" xfId="17" applyNumberFormat="1" applyFont="1" applyFill="1" applyBorder="1" applyAlignment="1">
      <alignment horizontal="center" vertical="center" wrapText="1"/>
    </xf>
    <xf numFmtId="2" fontId="30" fillId="0" borderId="12" xfId="17" applyNumberFormat="1" applyFont="1" applyFill="1" applyBorder="1" applyAlignment="1">
      <alignment horizontal="center" vertical="center" wrapText="1"/>
    </xf>
    <xf numFmtId="2" fontId="30" fillId="0" borderId="15" xfId="17" applyNumberFormat="1" applyFont="1" applyFill="1" applyBorder="1" applyAlignment="1">
      <alignment horizontal="center" vertical="center" wrapText="1"/>
    </xf>
    <xf numFmtId="2" fontId="30" fillId="0" borderId="2" xfId="17" applyNumberFormat="1" applyFont="1" applyFill="1" applyBorder="1" applyAlignment="1">
      <alignment horizontal="center" vertical="center" wrapText="1"/>
    </xf>
    <xf numFmtId="2" fontId="30" fillId="0" borderId="4" xfId="17" applyNumberFormat="1" applyFont="1" applyFill="1" applyBorder="1" applyAlignment="1">
      <alignment horizontal="center" vertical="center" wrapText="1"/>
    </xf>
    <xf numFmtId="49" fontId="38" fillId="0" borderId="0" xfId="17" applyNumberFormat="1" applyFont="1" applyFill="1" applyAlignment="1">
      <alignment horizontal="center" vertical="center"/>
    </xf>
    <xf numFmtId="0" fontId="7" fillId="0" borderId="0" xfId="17" applyNumberFormat="1" applyFont="1" applyFill="1" applyAlignment="1">
      <alignment horizontal="left" vertical="center" wrapText="1"/>
    </xf>
    <xf numFmtId="49" fontId="30" fillId="0" borderId="2" xfId="17" applyNumberFormat="1" applyFont="1" applyFill="1" applyBorder="1" applyAlignment="1">
      <alignment horizontal="center" vertical="center" wrapText="1"/>
    </xf>
    <xf numFmtId="49" fontId="30" fillId="0" borderId="8" xfId="17" applyNumberFormat="1" applyFont="1" applyFill="1" applyBorder="1" applyAlignment="1">
      <alignment horizontal="center" vertical="center" wrapText="1"/>
    </xf>
    <xf numFmtId="49" fontId="30" fillId="0" borderId="4" xfId="17" applyNumberFormat="1" applyFont="1" applyFill="1" applyBorder="1" applyAlignment="1">
      <alignment horizontal="center" vertical="center" wrapText="1"/>
    </xf>
    <xf numFmtId="49" fontId="30" fillId="0" borderId="12" xfId="17" applyNumberFormat="1" applyFont="1" applyFill="1" applyBorder="1" applyAlignment="1">
      <alignment horizontal="center" vertical="center" wrapText="1"/>
    </xf>
    <xf numFmtId="49" fontId="30" fillId="0" borderId="13" xfId="17" applyNumberFormat="1" applyFont="1" applyFill="1" applyBorder="1" applyAlignment="1">
      <alignment horizontal="center" vertical="center" wrapText="1"/>
    </xf>
    <xf numFmtId="49" fontId="30" fillId="0" borderId="15" xfId="17" applyNumberFormat="1" applyFont="1" applyFill="1" applyBorder="1" applyAlignment="1">
      <alignment horizontal="center" vertical="center" wrapText="1"/>
    </xf>
    <xf numFmtId="2" fontId="8" fillId="0" borderId="2" xfId="17" applyNumberFormat="1" applyFont="1" applyFill="1" applyBorder="1" applyAlignment="1">
      <alignment horizontal="center" vertical="center" wrapText="1"/>
    </xf>
    <xf numFmtId="2" fontId="8" fillId="0" borderId="8" xfId="17" applyNumberFormat="1" applyFont="1" applyFill="1" applyBorder="1" applyAlignment="1">
      <alignment horizontal="center" vertical="center" wrapText="1"/>
    </xf>
    <xf numFmtId="2" fontId="8" fillId="0" borderId="4" xfId="17" applyNumberFormat="1" applyFont="1" applyFill="1" applyBorder="1" applyAlignment="1">
      <alignment horizontal="center" vertical="center" wrapText="1"/>
    </xf>
    <xf numFmtId="2" fontId="30" fillId="0" borderId="13" xfId="17" applyNumberFormat="1" applyFont="1" applyFill="1" applyBorder="1" applyAlignment="1">
      <alignment horizontal="center" vertical="center" wrapText="1"/>
    </xf>
    <xf numFmtId="2" fontId="30" fillId="0" borderId="8" xfId="17" applyNumberFormat="1" applyFont="1" applyFill="1" applyBorder="1" applyAlignment="1">
      <alignment horizontal="center" vertical="center" wrapText="1"/>
    </xf>
    <xf numFmtId="2" fontId="30" fillId="0" borderId="3" xfId="17" applyNumberFormat="1" applyFont="1" applyFill="1" applyBorder="1" applyAlignment="1">
      <alignment horizontal="center" vertical="center" wrapText="1"/>
    </xf>
    <xf numFmtId="2" fontId="30" fillId="0" borderId="10" xfId="17" applyNumberFormat="1" applyFont="1" applyFill="1" applyBorder="1" applyAlignment="1">
      <alignment horizontal="center" vertical="center" wrapText="1"/>
    </xf>
    <xf numFmtId="2" fontId="30" fillId="0" borderId="9" xfId="17" applyNumberFormat="1" applyFont="1" applyFill="1" applyBorder="1" applyAlignment="1">
      <alignment horizontal="center" vertical="center" wrapText="1"/>
    </xf>
    <xf numFmtId="2" fontId="30" fillId="0" borderId="6" xfId="17" applyNumberFormat="1" applyFont="1" applyFill="1" applyBorder="1" applyAlignment="1">
      <alignment horizontal="center" vertical="center" wrapText="1"/>
    </xf>
    <xf numFmtId="2" fontId="30" fillId="0" borderId="7" xfId="17" applyNumberFormat="1" applyFont="1" applyFill="1" applyBorder="1" applyAlignment="1">
      <alignment horizontal="center" vertical="center" wrapText="1"/>
    </xf>
    <xf numFmtId="2" fontId="8" fillId="0" borderId="12" xfId="17" applyNumberFormat="1" applyFont="1" applyFill="1" applyBorder="1" applyAlignment="1">
      <alignment horizontal="center" vertical="center" wrapText="1"/>
    </xf>
    <xf numFmtId="2" fontId="8" fillId="0" borderId="10" xfId="1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4" fontId="14" fillId="0" borderId="2" xfId="0" applyNumberFormat="1" applyFont="1" applyBorder="1" applyAlignment="1">
      <alignment horizontal="left" vertical="center" wrapText="1"/>
    </xf>
    <xf numFmtId="4" fontId="14" fillId="0" borderId="8" xfId="0" applyNumberFormat="1" applyFont="1" applyBorder="1" applyAlignment="1">
      <alignment horizontal="left" vertical="center" wrapText="1"/>
    </xf>
    <xf numFmtId="4" fontId="14" fillId="0" borderId="4" xfId="0" applyNumberFormat="1" applyFont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top"/>
    </xf>
    <xf numFmtId="1" fontId="5" fillId="0" borderId="8" xfId="0" applyNumberFormat="1" applyFont="1" applyFill="1" applyBorder="1" applyAlignment="1">
      <alignment horizontal="center" vertical="top"/>
    </xf>
    <xf numFmtId="1" fontId="5" fillId="0" borderId="4" xfId="0" applyNumberFormat="1" applyFont="1" applyFill="1" applyBorder="1" applyAlignment="1">
      <alignment horizontal="center" vertical="top"/>
    </xf>
    <xf numFmtId="4" fontId="5" fillId="0" borderId="2" xfId="0" applyNumberFormat="1" applyFont="1" applyBorder="1" applyAlignment="1">
      <alignment horizontal="left" vertical="top" wrapText="1"/>
    </xf>
    <xf numFmtId="4" fontId="5" fillId="0" borderId="8" xfId="0" applyNumberFormat="1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top"/>
    </xf>
    <xf numFmtId="4" fontId="5" fillId="0" borderId="8" xfId="0" applyNumberFormat="1" applyFont="1" applyFill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left" vertical="top" wrapText="1"/>
    </xf>
    <xf numFmtId="4" fontId="5" fillId="0" borderId="8" xfId="0" applyNumberFormat="1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left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wrapText="1"/>
    </xf>
    <xf numFmtId="3" fontId="11" fillId="0" borderId="6" xfId="0" applyNumberFormat="1" applyFont="1" applyBorder="1" applyAlignment="1">
      <alignment horizontal="center" wrapText="1"/>
    </xf>
    <xf numFmtId="3" fontId="11" fillId="0" borderId="7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4" fontId="13" fillId="2" borderId="2" xfId="0" applyNumberFormat="1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left" vertical="center" wrapText="1"/>
    </xf>
    <xf numFmtId="4" fontId="13" fillId="2" borderId="8" xfId="0" applyNumberFormat="1" applyFont="1" applyFill="1" applyBorder="1" applyAlignment="1">
      <alignment horizontal="left" vertical="center" wrapText="1"/>
    </xf>
    <xf numFmtId="4" fontId="13" fillId="2" borderId="4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15" fillId="0" borderId="8" xfId="23" applyFont="1" applyFill="1" applyBorder="1" applyAlignment="1">
      <alignment horizontal="center" wrapText="1"/>
    </xf>
    <xf numFmtId="0" fontId="24" fillId="0" borderId="0" xfId="26" applyFont="1" applyAlignment="1">
      <alignment horizontal="left" vertical="center" wrapText="1"/>
    </xf>
    <xf numFmtId="0" fontId="24" fillId="0" borderId="0" xfId="24" applyFont="1" applyFill="1" applyAlignment="1">
      <alignment horizontal="left" wrapText="1"/>
    </xf>
    <xf numFmtId="0" fontId="18" fillId="0" borderId="1" xfId="23" applyFont="1" applyFill="1" applyBorder="1" applyAlignment="1">
      <alignment horizontal="center" vertical="center" wrapText="1"/>
    </xf>
    <xf numFmtId="0" fontId="18" fillId="0" borderId="9" xfId="23" applyFont="1" applyFill="1" applyBorder="1" applyAlignment="1">
      <alignment horizontal="center" vertical="center" wrapText="1"/>
    </xf>
    <xf numFmtId="0" fontId="18" fillId="0" borderId="1" xfId="23" applyFont="1" applyBorder="1" applyAlignment="1">
      <alignment horizontal="center" vertical="center" wrapText="1"/>
    </xf>
    <xf numFmtId="0" fontId="18" fillId="0" borderId="7" xfId="23" applyFont="1" applyBorder="1" applyAlignment="1">
      <alignment horizontal="center" vertical="center" wrapText="1"/>
    </xf>
    <xf numFmtId="0" fontId="67" fillId="0" borderId="8" xfId="23" applyFont="1" applyFill="1" applyBorder="1" applyAlignment="1">
      <alignment horizontal="left" wrapText="1"/>
    </xf>
    <xf numFmtId="0" fontId="63" fillId="0" borderId="8" xfId="23" applyFont="1" applyFill="1" applyBorder="1" applyAlignment="1">
      <alignment horizontal="center" wrapText="1"/>
    </xf>
    <xf numFmtId="0" fontId="23" fillId="0" borderId="8" xfId="23" applyFont="1" applyFill="1" applyBorder="1" applyAlignment="1">
      <alignment horizontal="center" wrapText="1"/>
    </xf>
    <xf numFmtId="0" fontId="23" fillId="0" borderId="4" xfId="23" applyFont="1" applyFill="1" applyBorder="1" applyAlignment="1">
      <alignment horizontal="center" wrapText="1"/>
    </xf>
    <xf numFmtId="0" fontId="69" fillId="0" borderId="0" xfId="27" applyFont="1" applyAlignment="1">
      <alignment horizontal="left" vertical="center" wrapText="1"/>
    </xf>
    <xf numFmtId="0" fontId="18" fillId="0" borderId="2" xfId="27" applyFont="1" applyFill="1" applyBorder="1" applyAlignment="1">
      <alignment horizontal="center" vertical="center"/>
    </xf>
    <xf numFmtId="0" fontId="18" fillId="0" borderId="8" xfId="27" applyFont="1" applyFill="1" applyBorder="1" applyAlignment="1">
      <alignment horizontal="center" vertical="center"/>
    </xf>
    <xf numFmtId="0" fontId="18" fillId="0" borderId="4" xfId="27" applyFont="1" applyFill="1" applyBorder="1" applyAlignment="1">
      <alignment horizontal="center" vertical="center"/>
    </xf>
    <xf numFmtId="0" fontId="71" fillId="0" borderId="2" xfId="27" applyFont="1" applyFill="1" applyBorder="1" applyAlignment="1">
      <alignment horizontal="center" vertical="center" wrapText="1"/>
    </xf>
    <xf numFmtId="0" fontId="71" fillId="0" borderId="8" xfId="27" applyFont="1" applyFill="1" applyBorder="1" applyAlignment="1">
      <alignment horizontal="center" vertical="center" wrapText="1"/>
    </xf>
    <xf numFmtId="0" fontId="71" fillId="0" borderId="4" xfId="27" applyFont="1" applyFill="1" applyBorder="1" applyAlignment="1">
      <alignment horizontal="center" vertical="center" wrapText="1"/>
    </xf>
    <xf numFmtId="0" fontId="72" fillId="0" borderId="2" xfId="27" applyFont="1" applyFill="1" applyBorder="1" applyAlignment="1">
      <alignment horizontal="center" vertical="center" wrapText="1"/>
    </xf>
    <xf numFmtId="0" fontId="72" fillId="0" borderId="8" xfId="27" applyFont="1" applyFill="1" applyBorder="1" applyAlignment="1">
      <alignment horizontal="center" vertical="center" wrapText="1"/>
    </xf>
    <xf numFmtId="0" fontId="72" fillId="0" borderId="4" xfId="27" applyFont="1" applyFill="1" applyBorder="1" applyAlignment="1">
      <alignment horizontal="center" vertical="center" wrapText="1"/>
    </xf>
    <xf numFmtId="0" fontId="72" fillId="0" borderId="1" xfId="27" applyFont="1" applyFill="1" applyBorder="1" applyAlignment="1">
      <alignment horizontal="center" vertical="center" wrapText="1"/>
    </xf>
    <xf numFmtId="0" fontId="71" fillId="0" borderId="1" xfId="27" applyFont="1" applyFill="1" applyBorder="1" applyAlignment="1">
      <alignment horizontal="center" vertical="center" wrapText="1"/>
    </xf>
    <xf numFmtId="3" fontId="46" fillId="7" borderId="1" xfId="28" applyNumberFormat="1" applyFont="1" applyFill="1" applyBorder="1" applyAlignment="1">
      <alignment horizontal="right" vertical="center"/>
    </xf>
    <xf numFmtId="3" fontId="46" fillId="0" borderId="1" xfId="28" applyNumberFormat="1" applyFont="1" applyBorder="1" applyAlignment="1">
      <alignment horizontal="right" vertical="center"/>
    </xf>
    <xf numFmtId="0" fontId="75" fillId="7" borderId="1" xfId="27" applyFont="1" applyFill="1" applyBorder="1" applyAlignment="1">
      <alignment horizontal="center"/>
    </xf>
    <xf numFmtId="0" fontId="75" fillId="0" borderId="1" xfId="27" applyFont="1" applyFill="1" applyBorder="1" applyAlignment="1">
      <alignment horizontal="center"/>
    </xf>
    <xf numFmtId="0" fontId="15" fillId="0" borderId="1" xfId="27" applyFont="1" applyFill="1" applyBorder="1" applyAlignment="1">
      <alignment horizontal="center" vertical="center" wrapText="1"/>
    </xf>
    <xf numFmtId="0" fontId="15" fillId="0" borderId="1" xfId="27" applyFont="1" applyFill="1" applyBorder="1" applyAlignment="1">
      <alignment horizontal="center" vertical="center"/>
    </xf>
    <xf numFmtId="49" fontId="15" fillId="0" borderId="1" xfId="27" applyNumberFormat="1" applyFont="1" applyFill="1" applyBorder="1" applyAlignment="1">
      <alignment horizontal="center" vertical="center"/>
    </xf>
    <xf numFmtId="0" fontId="15" fillId="0" borderId="1" xfId="27" applyFont="1" applyFill="1" applyBorder="1" applyAlignment="1">
      <alignment horizontal="left" vertical="center" wrapText="1"/>
    </xf>
    <xf numFmtId="3" fontId="15" fillId="0" borderId="2" xfId="27" applyNumberFormat="1" applyFont="1" applyFill="1" applyBorder="1" applyAlignment="1">
      <alignment horizontal="center" vertical="center" wrapText="1"/>
    </xf>
    <xf numFmtId="3" fontId="15" fillId="0" borderId="4" xfId="27" applyNumberFormat="1" applyFont="1" applyFill="1" applyBorder="1" applyAlignment="1">
      <alignment horizontal="center" vertical="center" wrapText="1"/>
    </xf>
    <xf numFmtId="0" fontId="18" fillId="0" borderId="1" xfId="27" applyFont="1" applyFill="1" applyBorder="1" applyAlignment="1">
      <alignment horizontal="center" vertical="center"/>
    </xf>
    <xf numFmtId="0" fontId="73" fillId="0" borderId="1" xfId="27" applyFont="1" applyFill="1" applyBorder="1" applyAlignment="1">
      <alignment horizontal="center" vertical="center"/>
    </xf>
    <xf numFmtId="0" fontId="18" fillId="0" borderId="1" xfId="27" applyFont="1" applyFill="1" applyBorder="1" applyAlignment="1">
      <alignment horizontal="center" vertical="center" wrapText="1"/>
    </xf>
    <xf numFmtId="0" fontId="74" fillId="0" borderId="1" xfId="27" applyFont="1" applyFill="1" applyBorder="1" applyAlignment="1">
      <alignment horizontal="center"/>
    </xf>
    <xf numFmtId="0" fontId="72" fillId="0" borderId="1" xfId="27" applyFont="1" applyFill="1" applyBorder="1" applyAlignment="1">
      <alignment horizontal="center" vertical="center"/>
    </xf>
    <xf numFmtId="0" fontId="23" fillId="0" borderId="2" xfId="27" applyFont="1" applyFill="1" applyBorder="1" applyAlignment="1">
      <alignment horizontal="center" vertical="center" wrapText="1"/>
    </xf>
    <xf numFmtId="0" fontId="23" fillId="0" borderId="8" xfId="27" applyFont="1" applyFill="1" applyBorder="1" applyAlignment="1">
      <alignment horizontal="center" vertical="center" wrapText="1"/>
    </xf>
    <xf numFmtId="0" fontId="23" fillId="0" borderId="4" xfId="27" applyFont="1" applyFill="1" applyBorder="1" applyAlignment="1">
      <alignment horizontal="center" vertical="center" wrapText="1"/>
    </xf>
    <xf numFmtId="0" fontId="17" fillId="0" borderId="1" xfId="27" applyFont="1" applyFill="1" applyBorder="1" applyAlignment="1">
      <alignment horizontal="center" vertical="center" wrapText="1"/>
    </xf>
    <xf numFmtId="0" fontId="17" fillId="0" borderId="1" xfId="27" applyFont="1" applyFill="1" applyBorder="1" applyAlignment="1">
      <alignment horizontal="center" vertical="center"/>
    </xf>
    <xf numFmtId="3" fontId="15" fillId="0" borderId="2" xfId="27" applyNumberFormat="1" applyFont="1" applyBorder="1" applyAlignment="1">
      <alignment horizontal="center" vertical="center" wrapText="1"/>
    </xf>
    <xf numFmtId="3" fontId="15" fillId="0" borderId="4" xfId="27" applyNumberFormat="1" applyFont="1" applyBorder="1" applyAlignment="1">
      <alignment horizontal="center" vertical="center" wrapText="1"/>
    </xf>
    <xf numFmtId="0" fontId="15" fillId="0" borderId="2" xfId="27" applyFont="1" applyFill="1" applyBorder="1" applyAlignment="1">
      <alignment horizontal="center" vertical="center"/>
    </xf>
    <xf numFmtId="0" fontId="15" fillId="0" borderId="8" xfId="27" applyFont="1" applyFill="1" applyBorder="1" applyAlignment="1">
      <alignment horizontal="center" vertical="center"/>
    </xf>
    <xf numFmtId="0" fontId="15" fillId="0" borderId="4" xfId="27" applyFont="1" applyFill="1" applyBorder="1" applyAlignment="1">
      <alignment horizontal="center" vertical="center"/>
    </xf>
    <xf numFmtId="49" fontId="15" fillId="0" borderId="2" xfId="27" applyNumberFormat="1" applyFont="1" applyFill="1" applyBorder="1" applyAlignment="1">
      <alignment horizontal="center" vertical="center"/>
    </xf>
    <xf numFmtId="49" fontId="15" fillId="0" borderId="8" xfId="27" applyNumberFormat="1" applyFont="1" applyFill="1" applyBorder="1" applyAlignment="1">
      <alignment horizontal="center" vertical="center"/>
    </xf>
    <xf numFmtId="49" fontId="15" fillId="0" borderId="4" xfId="27" applyNumberFormat="1" applyFont="1" applyFill="1" applyBorder="1" applyAlignment="1">
      <alignment horizontal="center" vertical="center"/>
    </xf>
    <xf numFmtId="0" fontId="15" fillId="0" borderId="2" xfId="27" applyFont="1" applyFill="1" applyBorder="1" applyAlignment="1">
      <alignment horizontal="left" vertical="center" wrapText="1"/>
    </xf>
    <xf numFmtId="0" fontId="15" fillId="0" borderId="8" xfId="27" applyFont="1" applyFill="1" applyBorder="1" applyAlignment="1">
      <alignment horizontal="left" vertical="center" wrapText="1"/>
    </xf>
    <xf numFmtId="0" fontId="15" fillId="0" borderId="4" xfId="27" applyFont="1" applyFill="1" applyBorder="1" applyAlignment="1">
      <alignment horizontal="left" vertical="center" wrapText="1"/>
    </xf>
    <xf numFmtId="0" fontId="15" fillId="0" borderId="2" xfId="27" applyFont="1" applyFill="1" applyBorder="1" applyAlignment="1">
      <alignment horizontal="center" vertical="center" wrapText="1"/>
    </xf>
    <xf numFmtId="0" fontId="15" fillId="0" borderId="8" xfId="27" applyFont="1" applyFill="1" applyBorder="1" applyAlignment="1">
      <alignment horizontal="center" vertical="center" wrapText="1"/>
    </xf>
    <xf numFmtId="0" fontId="15" fillId="0" borderId="4" xfId="27" applyFont="1" applyFill="1" applyBorder="1" applyAlignment="1">
      <alignment horizontal="center" vertical="center" wrapText="1"/>
    </xf>
    <xf numFmtId="49" fontId="15" fillId="0" borderId="1" xfId="27" applyNumberFormat="1" applyFont="1" applyBorder="1" applyAlignment="1">
      <alignment horizontal="center" vertical="center"/>
    </xf>
    <xf numFmtId="0" fontId="15" fillId="0" borderId="1" xfId="27" applyFont="1" applyBorder="1" applyAlignment="1">
      <alignment horizontal="left" vertical="center" wrapText="1"/>
    </xf>
    <xf numFmtId="0" fontId="15" fillId="0" borderId="1" xfId="27" applyFont="1" applyBorder="1" applyAlignment="1">
      <alignment horizontal="center" vertical="center" wrapText="1"/>
    </xf>
    <xf numFmtId="0" fontId="15" fillId="0" borderId="1" xfId="27" applyFont="1" applyBorder="1" applyAlignment="1">
      <alignment horizontal="center" vertical="center"/>
    </xf>
    <xf numFmtId="0" fontId="78" fillId="0" borderId="1" xfId="27" applyFont="1" applyFill="1" applyBorder="1" applyAlignment="1">
      <alignment horizontal="center" vertical="center" wrapText="1"/>
    </xf>
    <xf numFmtId="0" fontId="78" fillId="0" borderId="1" xfId="27" applyFont="1" applyFill="1" applyBorder="1" applyAlignment="1">
      <alignment horizontal="center" vertical="center"/>
    </xf>
    <xf numFmtId="0" fontId="78" fillId="0" borderId="1" xfId="27" applyFont="1" applyFill="1" applyBorder="1" applyAlignment="1">
      <alignment horizontal="left" vertical="center" wrapText="1"/>
    </xf>
    <xf numFmtId="0" fontId="78" fillId="0" borderId="1" xfId="27" applyFont="1" applyBorder="1" applyAlignment="1">
      <alignment horizontal="left" vertical="center" wrapText="1"/>
    </xf>
    <xf numFmtId="0" fontId="15" fillId="0" borderId="2" xfId="27" applyFont="1" applyBorder="1" applyAlignment="1">
      <alignment horizontal="center" vertical="center" wrapText="1"/>
    </xf>
    <xf numFmtId="0" fontId="15" fillId="0" borderId="8" xfId="27" applyFont="1" applyBorder="1" applyAlignment="1">
      <alignment horizontal="center" vertical="center" wrapText="1"/>
    </xf>
    <xf numFmtId="0" fontId="15" fillId="0" borderId="4" xfId="27" applyFont="1" applyBorder="1" applyAlignment="1">
      <alignment horizontal="center" vertical="center" wrapText="1"/>
    </xf>
    <xf numFmtId="0" fontId="15" fillId="0" borderId="2" xfId="27" applyFont="1" applyBorder="1" applyAlignment="1">
      <alignment horizontal="left" vertical="center" wrapText="1"/>
    </xf>
    <xf numFmtId="0" fontId="15" fillId="0" borderId="8" xfId="27" applyFont="1" applyBorder="1" applyAlignment="1">
      <alignment horizontal="left" vertical="center" wrapText="1"/>
    </xf>
    <xf numFmtId="0" fontId="15" fillId="0" borderId="4" xfId="27" applyFont="1" applyBorder="1" applyAlignment="1">
      <alignment horizontal="left" vertical="center" wrapText="1"/>
    </xf>
    <xf numFmtId="0" fontId="15" fillId="0" borderId="2" xfId="27" applyFont="1" applyBorder="1" applyAlignment="1">
      <alignment horizontal="center" vertical="center"/>
    </xf>
    <xf numFmtId="0" fontId="15" fillId="0" borderId="8" xfId="27" applyFont="1" applyBorder="1" applyAlignment="1">
      <alignment horizontal="center" vertical="center"/>
    </xf>
    <xf numFmtId="0" fontId="15" fillId="0" borderId="4" xfId="27" applyFont="1" applyBorder="1" applyAlignment="1">
      <alignment horizontal="center" vertical="center"/>
    </xf>
    <xf numFmtId="3" fontId="18" fillId="0" borderId="2" xfId="27" applyNumberFormat="1" applyFont="1" applyFill="1" applyBorder="1" applyAlignment="1">
      <alignment horizontal="center" vertical="center" wrapText="1"/>
    </xf>
    <xf numFmtId="3" fontId="18" fillId="0" borderId="4" xfId="27" applyNumberFormat="1" applyFont="1" applyFill="1" applyBorder="1" applyAlignment="1">
      <alignment horizontal="center" vertical="center" wrapText="1"/>
    </xf>
    <xf numFmtId="3" fontId="14" fillId="7" borderId="1" xfId="28" applyNumberFormat="1" applyFont="1" applyFill="1" applyBorder="1" applyAlignment="1">
      <alignment horizontal="right" vertical="center"/>
    </xf>
    <xf numFmtId="0" fontId="75" fillId="7" borderId="9" xfId="27" applyFont="1" applyFill="1" applyBorder="1" applyAlignment="1">
      <alignment horizontal="center" vertical="center"/>
    </xf>
    <xf numFmtId="0" fontId="75" fillId="7" borderId="6" xfId="27" applyFont="1" applyFill="1" applyBorder="1" applyAlignment="1">
      <alignment horizontal="center" vertical="center"/>
    </xf>
    <xf numFmtId="0" fontId="75" fillId="7" borderId="7" xfId="27" applyFont="1" applyFill="1" applyBorder="1" applyAlignment="1">
      <alignment horizontal="center" vertical="center"/>
    </xf>
    <xf numFmtId="0" fontId="76" fillId="0" borderId="1" xfId="29" applyBorder="1" applyAlignment="1">
      <alignment horizontal="center"/>
    </xf>
    <xf numFmtId="0" fontId="78" fillId="0" borderId="2" xfId="27" applyFont="1" applyFill="1" applyBorder="1" applyAlignment="1">
      <alignment horizontal="center" vertical="center"/>
    </xf>
    <xf numFmtId="0" fontId="78" fillId="0" borderId="8" xfId="27" applyFont="1" applyFill="1" applyBorder="1" applyAlignment="1">
      <alignment horizontal="center" vertical="center"/>
    </xf>
    <xf numFmtId="0" fontId="78" fillId="0" borderId="4" xfId="27" applyFont="1" applyFill="1" applyBorder="1" applyAlignment="1">
      <alignment horizontal="center" vertical="center"/>
    </xf>
    <xf numFmtId="0" fontId="78" fillId="0" borderId="2" xfId="27" applyFont="1" applyFill="1" applyBorder="1" applyAlignment="1">
      <alignment horizontal="left" vertical="center" wrapText="1"/>
    </xf>
    <xf numFmtId="0" fontId="78" fillId="0" borderId="8" xfId="27" applyFont="1" applyFill="1" applyBorder="1" applyAlignment="1">
      <alignment horizontal="left" vertical="center" wrapText="1"/>
    </xf>
    <xf numFmtId="0" fontId="78" fillId="0" borderId="4" xfId="27" applyFont="1" applyFill="1" applyBorder="1" applyAlignment="1">
      <alignment horizontal="left" vertical="center" wrapText="1"/>
    </xf>
    <xf numFmtId="0" fontId="80" fillId="0" borderId="1" xfId="27" applyFont="1" applyFill="1" applyBorder="1" applyAlignment="1">
      <alignment horizontal="center" vertical="center" wrapText="1"/>
    </xf>
    <xf numFmtId="49" fontId="78" fillId="0" borderId="1" xfId="27" applyNumberFormat="1" applyFont="1" applyFill="1" applyBorder="1" applyAlignment="1">
      <alignment horizontal="center" vertical="center"/>
    </xf>
    <xf numFmtId="49" fontId="15" fillId="0" borderId="2" xfId="27" applyNumberFormat="1" applyFont="1" applyFill="1" applyBorder="1" applyAlignment="1">
      <alignment horizontal="center" vertical="center" wrapText="1"/>
    </xf>
    <xf numFmtId="49" fontId="15" fillId="0" borderId="8" xfId="27" applyNumberFormat="1" applyFont="1" applyFill="1" applyBorder="1" applyAlignment="1">
      <alignment horizontal="center" vertical="center" wrapText="1"/>
    </xf>
    <xf numFmtId="49" fontId="15" fillId="0" borderId="4" xfId="27" applyNumberFormat="1" applyFont="1" applyFill="1" applyBorder="1" applyAlignment="1">
      <alignment horizontal="center" vertical="center" wrapText="1"/>
    </xf>
    <xf numFmtId="0" fontId="78" fillId="0" borderId="1" xfId="27" applyFont="1" applyBorder="1" applyAlignment="1">
      <alignment horizontal="center" vertical="center"/>
    </xf>
    <xf numFmtId="0" fontId="81" fillId="0" borderId="1" xfId="27" applyFont="1" applyFill="1" applyBorder="1" applyAlignment="1">
      <alignment horizontal="center" vertical="center" wrapText="1"/>
    </xf>
    <xf numFmtId="0" fontId="68" fillId="0" borderId="0" xfId="27" applyFont="1" applyAlignment="1">
      <alignment horizontal="left"/>
    </xf>
    <xf numFmtId="0" fontId="70" fillId="0" borderId="0" xfId="27" applyFont="1" applyAlignment="1">
      <alignment horizontal="left" wrapText="1"/>
    </xf>
    <xf numFmtId="0" fontId="75" fillId="8" borderId="1" xfId="27" applyFont="1" applyFill="1" applyBorder="1" applyAlignment="1">
      <alignment horizontal="center"/>
    </xf>
    <xf numFmtId="3" fontId="46" fillId="9" borderId="1" xfId="28" applyNumberFormat="1" applyFont="1" applyFill="1" applyBorder="1" applyAlignment="1">
      <alignment horizontal="right" vertical="center"/>
    </xf>
    <xf numFmtId="0" fontId="7" fillId="0" borderId="2" xfId="30" applyFont="1" applyBorder="1" applyAlignment="1">
      <alignment horizontal="left" vertical="center" wrapText="1"/>
    </xf>
    <xf numFmtId="0" fontId="7" fillId="0" borderId="8" xfId="30" applyFont="1" applyBorder="1" applyAlignment="1">
      <alignment horizontal="left" vertical="center" wrapText="1"/>
    </xf>
    <xf numFmtId="0" fontId="7" fillId="0" borderId="4" xfId="30" applyFont="1" applyBorder="1" applyAlignment="1">
      <alignment horizontal="left" vertical="center" wrapText="1"/>
    </xf>
    <xf numFmtId="49" fontId="15" fillId="0" borderId="1" xfId="27" applyNumberFormat="1" applyFont="1" applyFill="1" applyBorder="1" applyAlignment="1">
      <alignment horizontal="center" vertical="center" wrapText="1"/>
    </xf>
    <xf numFmtId="49" fontId="15" fillId="0" borderId="1" xfId="27" applyNumberFormat="1" applyFont="1" applyBorder="1" applyAlignment="1">
      <alignment horizontal="center" vertical="center" wrapText="1"/>
    </xf>
    <xf numFmtId="0" fontId="7" fillId="0" borderId="1" xfId="30" applyFont="1" applyBorder="1" applyAlignment="1">
      <alignment horizontal="left" vertical="center" wrapText="1"/>
    </xf>
    <xf numFmtId="0" fontId="7" fillId="0" borderId="2" xfId="30" applyFont="1" applyFill="1" applyBorder="1" applyAlignment="1">
      <alignment horizontal="left" vertical="center" wrapText="1"/>
    </xf>
    <xf numFmtId="0" fontId="7" fillId="0" borderId="8" xfId="30" applyFont="1" applyFill="1" applyBorder="1" applyAlignment="1">
      <alignment horizontal="left" vertical="center" wrapText="1"/>
    </xf>
    <xf numFmtId="0" fontId="7" fillId="0" borderId="4" xfId="30" applyFont="1" applyFill="1" applyBorder="1" applyAlignment="1">
      <alignment horizontal="left" vertical="center" wrapText="1"/>
    </xf>
    <xf numFmtId="0" fontId="16" fillId="0" borderId="12" xfId="27" applyFont="1" applyFill="1" applyBorder="1" applyAlignment="1">
      <alignment horizontal="center" vertical="center" wrapText="1"/>
    </xf>
    <xf numFmtId="0" fontId="16" fillId="0" borderId="3" xfId="27" applyFont="1" applyFill="1" applyBorder="1" applyAlignment="1">
      <alignment horizontal="center" vertical="center" wrapText="1"/>
    </xf>
    <xf numFmtId="0" fontId="16" fillId="0" borderId="10" xfId="27" applyFont="1" applyFill="1" applyBorder="1" applyAlignment="1">
      <alignment horizontal="center" vertical="center" wrapText="1"/>
    </xf>
    <xf numFmtId="0" fontId="16" fillId="0" borderId="13" xfId="27" applyFont="1" applyFill="1" applyBorder="1" applyAlignment="1">
      <alignment horizontal="center" vertical="center" wrapText="1"/>
    </xf>
    <xf numFmtId="0" fontId="16" fillId="0" borderId="0" xfId="27" applyFont="1" applyFill="1" applyBorder="1" applyAlignment="1">
      <alignment horizontal="center" vertical="center" wrapText="1"/>
    </xf>
    <xf numFmtId="0" fontId="16" fillId="0" borderId="14" xfId="27" applyFont="1" applyFill="1" applyBorder="1" applyAlignment="1">
      <alignment horizontal="center" vertical="center" wrapText="1"/>
    </xf>
    <xf numFmtId="0" fontId="16" fillId="0" borderId="15" xfId="27" applyFont="1" applyFill="1" applyBorder="1" applyAlignment="1">
      <alignment horizontal="center" vertical="center" wrapText="1"/>
    </xf>
    <xf numFmtId="0" fontId="16" fillId="0" borderId="5" xfId="27" applyFont="1" applyFill="1" applyBorder="1" applyAlignment="1">
      <alignment horizontal="center" vertical="center" wrapText="1"/>
    </xf>
    <xf numFmtId="0" fontId="16" fillId="0" borderId="11" xfId="27" applyFont="1" applyFill="1" applyBorder="1" applyAlignment="1">
      <alignment horizontal="center" vertical="center" wrapText="1"/>
    </xf>
    <xf numFmtId="3" fontId="14" fillId="9" borderId="1" xfId="28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3" fontId="23" fillId="0" borderId="9" xfId="0" applyNumberFormat="1" applyFont="1" applyFill="1" applyBorder="1" applyAlignment="1">
      <alignment horizontal="center" vertical="center"/>
    </xf>
    <xf numFmtId="3" fontId="23" fillId="0" borderId="6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8" xfId="0" applyFont="1" applyFill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justify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3" fontId="23" fillId="0" borderId="2" xfId="0" applyNumberFormat="1" applyFont="1" applyFill="1" applyBorder="1" applyAlignment="1">
      <alignment horizontal="center" vertical="center"/>
    </xf>
    <xf numFmtId="3" fontId="23" fillId="0" borderId="8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3" fontId="20" fillId="0" borderId="2" xfId="0" applyNumberFormat="1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48" fillId="0" borderId="13" xfId="19" applyNumberFormat="1" applyFont="1" applyFill="1" applyBorder="1" applyAlignment="1">
      <alignment horizontal="center" vertical="top"/>
    </xf>
    <xf numFmtId="49" fontId="48" fillId="0" borderId="14" xfId="19" applyNumberFormat="1" applyFont="1" applyFill="1" applyBorder="1" applyAlignment="1">
      <alignment horizontal="center" vertical="top"/>
    </xf>
    <xf numFmtId="0" fontId="45" fillId="0" borderId="12" xfId="19" applyFont="1" applyFill="1" applyBorder="1" applyAlignment="1">
      <alignment horizontal="left" vertical="top" wrapText="1"/>
    </xf>
    <xf numFmtId="0" fontId="45" fillId="0" borderId="10" xfId="19" applyFont="1" applyFill="1" applyBorder="1" applyAlignment="1">
      <alignment horizontal="left" vertical="top" wrapText="1"/>
    </xf>
    <xf numFmtId="0" fontId="45" fillId="0" borderId="13" xfId="19" applyFont="1" applyFill="1" applyBorder="1" applyAlignment="1">
      <alignment horizontal="left" vertical="top" wrapText="1"/>
    </xf>
    <xf numFmtId="0" fontId="45" fillId="0" borderId="14" xfId="19" applyFont="1" applyFill="1" applyBorder="1" applyAlignment="1">
      <alignment horizontal="left" vertical="top" wrapText="1"/>
    </xf>
    <xf numFmtId="0" fontId="45" fillId="0" borderId="15" xfId="19" applyFont="1" applyFill="1" applyBorder="1" applyAlignment="1">
      <alignment horizontal="left" vertical="top" wrapText="1"/>
    </xf>
    <xf numFmtId="0" fontId="45" fillId="0" borderId="11" xfId="19" applyFont="1" applyFill="1" applyBorder="1" applyAlignment="1">
      <alignment horizontal="left" vertical="top" wrapText="1"/>
    </xf>
    <xf numFmtId="49" fontId="45" fillId="0" borderId="13" xfId="19" applyNumberFormat="1" applyFont="1" applyFill="1" applyBorder="1" applyAlignment="1">
      <alignment horizontal="center" vertical="top"/>
    </xf>
    <xf numFmtId="49" fontId="45" fillId="0" borderId="14" xfId="19" applyNumberFormat="1" applyFont="1" applyFill="1" applyBorder="1" applyAlignment="1">
      <alignment horizontal="center" vertical="top"/>
    </xf>
    <xf numFmtId="49" fontId="48" fillId="0" borderId="13" xfId="19" applyNumberFormat="1" applyFont="1" applyFill="1" applyBorder="1" applyAlignment="1">
      <alignment horizontal="center" vertical="center"/>
    </xf>
    <xf numFmtId="49" fontId="48" fillId="0" borderId="14" xfId="19" applyNumberFormat="1" applyFont="1" applyFill="1" applyBorder="1" applyAlignment="1">
      <alignment horizontal="center" vertical="center"/>
    </xf>
    <xf numFmtId="49" fontId="45" fillId="0" borderId="13" xfId="19" applyNumberFormat="1" applyFont="1" applyFill="1" applyBorder="1" applyAlignment="1">
      <alignment horizontal="center" vertical="center"/>
    </xf>
    <xf numFmtId="49" fontId="45" fillId="0" borderId="14" xfId="19" applyNumberFormat="1" applyFont="1" applyFill="1" applyBorder="1" applyAlignment="1">
      <alignment horizontal="center" vertical="center"/>
    </xf>
    <xf numFmtId="0" fontId="28" fillId="0" borderId="13" xfId="20" applyFill="1" applyBorder="1" applyAlignment="1">
      <alignment horizontal="left" vertical="top" wrapText="1"/>
    </xf>
    <xf numFmtId="0" fontId="28" fillId="0" borderId="14" xfId="20" applyFill="1" applyBorder="1" applyAlignment="1">
      <alignment horizontal="left" vertical="top" wrapText="1"/>
    </xf>
    <xf numFmtId="0" fontId="28" fillId="0" borderId="15" xfId="20" applyFill="1" applyBorder="1" applyAlignment="1">
      <alignment horizontal="left" vertical="top" wrapText="1"/>
    </xf>
    <xf numFmtId="0" fontId="28" fillId="0" borderId="11" xfId="20" applyFill="1" applyBorder="1" applyAlignment="1">
      <alignment horizontal="left" vertical="top" wrapText="1"/>
    </xf>
    <xf numFmtId="0" fontId="28" fillId="0" borderId="14" xfId="20" applyFill="1" applyBorder="1" applyAlignment="1">
      <alignment horizontal="center"/>
    </xf>
    <xf numFmtId="0" fontId="28" fillId="0" borderId="14" xfId="20" applyFill="1" applyBorder="1" applyAlignment="1">
      <alignment horizontal="center" vertical="center"/>
    </xf>
    <xf numFmtId="49" fontId="48" fillId="0" borderId="12" xfId="19" applyNumberFormat="1" applyFont="1" applyFill="1" applyBorder="1" applyAlignment="1">
      <alignment horizontal="center" vertical="top"/>
    </xf>
    <xf numFmtId="49" fontId="48" fillId="0" borderId="10" xfId="19" applyNumberFormat="1" applyFont="1" applyFill="1" applyBorder="1" applyAlignment="1">
      <alignment horizontal="center" vertical="top"/>
    </xf>
    <xf numFmtId="49" fontId="45" fillId="0" borderId="12" xfId="19" applyNumberFormat="1" applyFont="1" applyFill="1" applyBorder="1" applyAlignment="1">
      <alignment horizontal="center" vertical="top"/>
    </xf>
    <xf numFmtId="49" fontId="45" fillId="0" borderId="10" xfId="19" applyNumberFormat="1" applyFont="1" applyFill="1" applyBorder="1" applyAlignment="1">
      <alignment horizontal="center" vertical="top"/>
    </xf>
    <xf numFmtId="0" fontId="45" fillId="0" borderId="3" xfId="19" applyFont="1" applyFill="1" applyBorder="1" applyAlignment="1">
      <alignment horizontal="left" vertical="top" wrapText="1"/>
    </xf>
    <xf numFmtId="0" fontId="45" fillId="0" borderId="0" xfId="19" applyFont="1" applyFill="1" applyBorder="1" applyAlignment="1">
      <alignment horizontal="left" vertical="top" wrapText="1"/>
    </xf>
    <xf numFmtId="0" fontId="45" fillId="0" borderId="5" xfId="19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top"/>
    </xf>
    <xf numFmtId="49" fontId="48" fillId="0" borderId="15" xfId="19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49" fontId="45" fillId="0" borderId="15" xfId="19" applyNumberFormat="1" applyFont="1" applyFill="1" applyBorder="1" applyAlignment="1">
      <alignment horizontal="center" vertical="top"/>
    </xf>
    <xf numFmtId="49" fontId="48" fillId="0" borderId="0" xfId="19" applyNumberFormat="1" applyFont="1" applyFill="1" applyBorder="1" applyAlignment="1">
      <alignment horizontal="center" vertical="top"/>
    </xf>
    <xf numFmtId="49" fontId="48" fillId="0" borderId="11" xfId="19" applyNumberFormat="1" applyFont="1" applyFill="1" applyBorder="1" applyAlignment="1">
      <alignment horizontal="center" vertical="top"/>
    </xf>
    <xf numFmtId="49" fontId="45" fillId="0" borderId="11" xfId="19" applyNumberFormat="1" applyFont="1" applyFill="1" applyBorder="1" applyAlignment="1">
      <alignment horizontal="center" vertical="top"/>
    </xf>
    <xf numFmtId="0" fontId="42" fillId="0" borderId="12" xfId="19" applyFont="1" applyFill="1" applyBorder="1" applyAlignment="1">
      <alignment horizontal="center" vertical="center" wrapText="1"/>
    </xf>
    <xf numFmtId="0" fontId="42" fillId="0" borderId="3" xfId="19" applyFont="1" applyFill="1" applyBorder="1" applyAlignment="1">
      <alignment horizontal="center" vertical="center" wrapText="1"/>
    </xf>
    <xf numFmtId="0" fontId="42" fillId="0" borderId="13" xfId="19" applyFont="1" applyFill="1" applyBorder="1" applyAlignment="1">
      <alignment horizontal="center" vertical="center" wrapText="1"/>
    </xf>
    <xf numFmtId="0" fontId="42" fillId="0" borderId="0" xfId="19" applyFont="1" applyFill="1" applyBorder="1" applyAlignment="1">
      <alignment horizontal="center" vertical="center" wrapText="1"/>
    </xf>
    <xf numFmtId="0" fontId="42" fillId="0" borderId="15" xfId="19" applyFont="1" applyFill="1" applyBorder="1" applyAlignment="1">
      <alignment horizontal="center" vertical="center" wrapText="1"/>
    </xf>
    <xf numFmtId="0" fontId="42" fillId="0" borderId="5" xfId="19" applyFont="1" applyFill="1" applyBorder="1" applyAlignment="1">
      <alignment horizontal="center" vertical="center" wrapText="1"/>
    </xf>
    <xf numFmtId="0" fontId="50" fillId="0" borderId="12" xfId="19" applyFont="1" applyFill="1" applyBorder="1" applyAlignment="1">
      <alignment horizontal="left" vertical="top" wrapText="1"/>
    </xf>
    <xf numFmtId="0" fontId="50" fillId="0" borderId="3" xfId="19" applyFont="1" applyFill="1" applyBorder="1" applyAlignment="1">
      <alignment horizontal="left" vertical="top" wrapText="1"/>
    </xf>
    <xf numFmtId="0" fontId="50" fillId="0" borderId="13" xfId="19" applyFont="1" applyFill="1" applyBorder="1" applyAlignment="1">
      <alignment horizontal="left" vertical="top" wrapText="1"/>
    </xf>
    <xf numFmtId="0" fontId="50" fillId="0" borderId="0" xfId="19" applyFont="1" applyFill="1" applyBorder="1" applyAlignment="1">
      <alignment horizontal="left" vertical="top" wrapText="1"/>
    </xf>
    <xf numFmtId="0" fontId="50" fillId="0" borderId="15" xfId="19" applyFont="1" applyFill="1" applyBorder="1" applyAlignment="1">
      <alignment horizontal="left" vertical="top" wrapText="1"/>
    </xf>
    <xf numFmtId="0" fontId="50" fillId="0" borderId="5" xfId="19" applyFont="1" applyFill="1" applyBorder="1" applyAlignment="1">
      <alignment horizontal="left" vertical="top" wrapText="1"/>
    </xf>
    <xf numFmtId="49" fontId="48" fillId="0" borderId="12" xfId="19" applyNumberFormat="1" applyFont="1" applyFill="1" applyBorder="1" applyAlignment="1">
      <alignment horizontal="center" vertical="center"/>
    </xf>
    <xf numFmtId="49" fontId="48" fillId="0" borderId="10" xfId="19" applyNumberFormat="1" applyFont="1" applyFill="1" applyBorder="1" applyAlignment="1">
      <alignment horizontal="center" vertical="center"/>
    </xf>
    <xf numFmtId="49" fontId="45" fillId="0" borderId="12" xfId="19" applyNumberFormat="1" applyFont="1" applyFill="1" applyBorder="1" applyAlignment="1">
      <alignment horizontal="center" vertical="center"/>
    </xf>
    <xf numFmtId="49" fontId="45" fillId="0" borderId="10" xfId="19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8" fillId="0" borderId="12" xfId="19" applyFont="1" applyFill="1" applyBorder="1" applyAlignment="1">
      <alignment horizontal="left" vertical="top" wrapText="1"/>
    </xf>
    <xf numFmtId="0" fontId="48" fillId="0" borderId="3" xfId="19" applyFont="1" applyFill="1" applyBorder="1" applyAlignment="1">
      <alignment horizontal="left" vertical="top" wrapText="1"/>
    </xf>
    <xf numFmtId="0" fontId="48" fillId="0" borderId="13" xfId="19" applyFont="1" applyFill="1" applyBorder="1" applyAlignment="1">
      <alignment horizontal="left" vertical="top" wrapText="1"/>
    </xf>
    <xf numFmtId="0" fontId="48" fillId="0" borderId="0" xfId="19" applyFont="1" applyFill="1" applyBorder="1" applyAlignment="1">
      <alignment horizontal="left" vertical="top" wrapText="1"/>
    </xf>
    <xf numFmtId="0" fontId="48" fillId="0" borderId="15" xfId="19" applyFont="1" applyFill="1" applyBorder="1" applyAlignment="1">
      <alignment horizontal="left" vertical="top" wrapText="1"/>
    </xf>
    <xf numFmtId="0" fontId="48" fillId="0" borderId="5" xfId="19" applyFont="1" applyFill="1" applyBorder="1" applyAlignment="1">
      <alignment horizontal="left" vertical="top" wrapText="1"/>
    </xf>
    <xf numFmtId="49" fontId="45" fillId="0" borderId="15" xfId="19" applyNumberFormat="1" applyFont="1" applyFill="1" applyBorder="1" applyAlignment="1">
      <alignment horizontal="center" vertical="center"/>
    </xf>
    <xf numFmtId="49" fontId="48" fillId="0" borderId="15" xfId="19" applyNumberFormat="1" applyFont="1" applyFill="1" applyBorder="1" applyAlignment="1">
      <alignment horizontal="center" vertical="center"/>
    </xf>
    <xf numFmtId="0" fontId="48" fillId="0" borderId="10" xfId="19" applyFont="1" applyFill="1" applyBorder="1" applyAlignment="1">
      <alignment horizontal="left" vertical="top" wrapText="1"/>
    </xf>
    <xf numFmtId="0" fontId="28" fillId="0" borderId="11" xfId="20" applyFill="1" applyBorder="1" applyAlignment="1">
      <alignment horizontal="center" vertical="center"/>
    </xf>
    <xf numFmtId="0" fontId="49" fillId="0" borderId="12" xfId="19" applyFont="1" applyFill="1" applyBorder="1" applyAlignment="1">
      <alignment horizontal="left" vertical="top" wrapText="1"/>
    </xf>
    <xf numFmtId="0" fontId="49" fillId="0" borderId="3" xfId="19" applyFont="1" applyFill="1" applyBorder="1" applyAlignment="1">
      <alignment horizontal="left" vertical="top" wrapText="1"/>
    </xf>
    <xf numFmtId="0" fontId="49" fillId="0" borderId="13" xfId="19" applyFont="1" applyFill="1" applyBorder="1" applyAlignment="1">
      <alignment horizontal="left" vertical="top" wrapText="1"/>
    </xf>
    <xf numFmtId="0" fontId="49" fillId="0" borderId="0" xfId="19" applyFont="1" applyFill="1" applyBorder="1" applyAlignment="1">
      <alignment horizontal="left" vertical="top" wrapText="1"/>
    </xf>
    <xf numFmtId="0" fontId="49" fillId="0" borderId="15" xfId="19" applyFont="1" applyFill="1" applyBorder="1" applyAlignment="1">
      <alignment horizontal="left" vertical="top" wrapText="1"/>
    </xf>
    <xf numFmtId="0" fontId="49" fillId="0" borderId="5" xfId="19" applyFont="1" applyFill="1" applyBorder="1" applyAlignment="1">
      <alignment horizontal="left" vertical="top" wrapText="1"/>
    </xf>
    <xf numFmtId="49" fontId="55" fillId="0" borderId="12" xfId="19" applyNumberFormat="1" applyFont="1" applyFill="1" applyBorder="1" applyAlignment="1">
      <alignment horizontal="left" vertical="center"/>
    </xf>
    <xf numFmtId="49" fontId="55" fillId="0" borderId="3" xfId="19" applyNumberFormat="1" applyFont="1" applyFill="1" applyBorder="1" applyAlignment="1">
      <alignment horizontal="left" vertical="center"/>
    </xf>
    <xf numFmtId="49" fontId="55" fillId="0" borderId="13" xfId="19" applyNumberFormat="1" applyFont="1" applyFill="1" applyBorder="1" applyAlignment="1">
      <alignment horizontal="left" vertical="center"/>
    </xf>
    <xf numFmtId="49" fontId="55" fillId="0" borderId="0" xfId="19" applyNumberFormat="1" applyFont="1" applyFill="1" applyBorder="1" applyAlignment="1">
      <alignment horizontal="left" vertical="center"/>
    </xf>
    <xf numFmtId="49" fontId="55" fillId="0" borderId="15" xfId="19" applyNumberFormat="1" applyFont="1" applyFill="1" applyBorder="1" applyAlignment="1">
      <alignment horizontal="left" vertical="center"/>
    </xf>
    <xf numFmtId="49" fontId="55" fillId="0" borderId="5" xfId="19" applyNumberFormat="1" applyFont="1" applyFill="1" applyBorder="1" applyAlignment="1">
      <alignment horizontal="left" vertical="center"/>
    </xf>
    <xf numFmtId="49" fontId="48" fillId="0" borderId="3" xfId="19" applyNumberFormat="1" applyFont="1" applyFill="1" applyBorder="1" applyAlignment="1">
      <alignment horizontal="center" vertical="top"/>
    </xf>
    <xf numFmtId="0" fontId="0" fillId="0" borderId="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49" fontId="49" fillId="0" borderId="12" xfId="19" applyNumberFormat="1" applyFont="1" applyFill="1" applyBorder="1" applyAlignment="1">
      <alignment horizontal="left" vertical="center"/>
    </xf>
    <xf numFmtId="49" fontId="49" fillId="0" borderId="3" xfId="19" applyNumberFormat="1" applyFont="1" applyFill="1" applyBorder="1" applyAlignment="1">
      <alignment horizontal="left" vertical="center"/>
    </xf>
    <xf numFmtId="49" fontId="49" fillId="0" borderId="13" xfId="19" applyNumberFormat="1" applyFont="1" applyFill="1" applyBorder="1" applyAlignment="1">
      <alignment horizontal="left" vertical="center"/>
    </xf>
    <xf numFmtId="49" fontId="49" fillId="0" borderId="0" xfId="19" applyNumberFormat="1" applyFont="1" applyFill="1" applyBorder="1" applyAlignment="1">
      <alignment horizontal="left" vertical="center"/>
    </xf>
    <xf numFmtId="49" fontId="49" fillId="0" borderId="15" xfId="19" applyNumberFormat="1" applyFont="1" applyFill="1" applyBorder="1" applyAlignment="1">
      <alignment horizontal="left" vertical="center"/>
    </xf>
    <xf numFmtId="49" fontId="49" fillId="0" borderId="5" xfId="19" applyNumberFormat="1" applyFont="1" applyFill="1" applyBorder="1" applyAlignment="1">
      <alignment horizontal="left" vertical="center"/>
    </xf>
    <xf numFmtId="49" fontId="45" fillId="0" borderId="8" xfId="19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45" fillId="0" borderId="2" xfId="19" applyFont="1" applyFill="1" applyBorder="1" applyAlignment="1">
      <alignment horizontal="left" vertical="top" wrapText="1"/>
    </xf>
    <xf numFmtId="0" fontId="45" fillId="0" borderId="8" xfId="19" applyFont="1" applyFill="1" applyBorder="1" applyAlignment="1">
      <alignment horizontal="left" vertical="top" wrapText="1"/>
    </xf>
    <xf numFmtId="0" fontId="45" fillId="0" borderId="4" xfId="19" applyFont="1" applyFill="1" applyBorder="1" applyAlignment="1">
      <alignment horizontal="left" vertical="top" wrapText="1"/>
    </xf>
    <xf numFmtId="49" fontId="48" fillId="0" borderId="11" xfId="19" applyNumberFormat="1" applyFont="1" applyFill="1" applyBorder="1" applyAlignment="1">
      <alignment horizontal="center" vertical="center"/>
    </xf>
    <xf numFmtId="49" fontId="45" fillId="0" borderId="11" xfId="19" applyNumberFormat="1" applyFont="1" applyFill="1" applyBorder="1" applyAlignment="1">
      <alignment horizontal="center" vertical="center"/>
    </xf>
    <xf numFmtId="0" fontId="58" fillId="0" borderId="12" xfId="19" applyFont="1" applyFill="1" applyBorder="1" applyAlignment="1">
      <alignment horizontal="left" vertical="center" wrapText="1"/>
    </xf>
    <xf numFmtId="0" fontId="58" fillId="0" borderId="3" xfId="19" applyFont="1" applyFill="1" applyBorder="1" applyAlignment="1">
      <alignment horizontal="left" vertical="center" wrapText="1"/>
    </xf>
    <xf numFmtId="0" fontId="58" fillId="0" borderId="13" xfId="19" applyFont="1" applyFill="1" applyBorder="1" applyAlignment="1">
      <alignment horizontal="left" vertical="center" wrapText="1"/>
    </xf>
    <xf numFmtId="0" fontId="58" fillId="0" borderId="0" xfId="19" applyFont="1" applyFill="1" applyBorder="1" applyAlignment="1">
      <alignment horizontal="left" vertical="center" wrapText="1"/>
    </xf>
    <xf numFmtId="0" fontId="58" fillId="0" borderId="15" xfId="19" applyFont="1" applyFill="1" applyBorder="1" applyAlignment="1">
      <alignment horizontal="left" vertical="center" wrapText="1"/>
    </xf>
    <xf numFmtId="0" fontId="58" fillId="0" borderId="5" xfId="19" applyFont="1" applyFill="1" applyBorder="1" applyAlignment="1">
      <alignment horizontal="left" vertical="center" wrapText="1"/>
    </xf>
    <xf numFmtId="49" fontId="48" fillId="0" borderId="3" xfId="19" applyNumberFormat="1" applyFont="1" applyFill="1" applyBorder="1" applyAlignment="1">
      <alignment horizontal="center" vertical="center"/>
    </xf>
    <xf numFmtId="0" fontId="42" fillId="0" borderId="12" xfId="19" applyFont="1" applyFill="1" applyBorder="1" applyAlignment="1">
      <alignment horizontal="left" vertical="center"/>
    </xf>
    <xf numFmtId="0" fontId="42" fillId="0" borderId="3" xfId="19" applyFont="1" applyFill="1" applyBorder="1" applyAlignment="1">
      <alignment horizontal="left" vertical="center"/>
    </xf>
    <xf numFmtId="0" fontId="42" fillId="0" borderId="13" xfId="19" applyFont="1" applyFill="1" applyBorder="1" applyAlignment="1">
      <alignment horizontal="left" vertical="center"/>
    </xf>
    <xf numFmtId="0" fontId="42" fillId="0" borderId="0" xfId="19" applyFont="1" applyFill="1" applyBorder="1" applyAlignment="1">
      <alignment horizontal="left" vertical="center"/>
    </xf>
    <xf numFmtId="0" fontId="42" fillId="0" borderId="15" xfId="19" applyFont="1" applyFill="1" applyBorder="1" applyAlignment="1">
      <alignment horizontal="left" vertical="center"/>
    </xf>
    <xf numFmtId="0" fontId="42" fillId="0" borderId="5" xfId="19" applyFont="1" applyFill="1" applyBorder="1" applyAlignment="1">
      <alignment horizontal="left" vertical="center"/>
    </xf>
    <xf numFmtId="49" fontId="50" fillId="0" borderId="13" xfId="19" applyNumberFormat="1" applyFont="1" applyFill="1" applyBorder="1" applyAlignment="1">
      <alignment horizontal="center" vertical="center"/>
    </xf>
    <xf numFmtId="49" fontId="50" fillId="0" borderId="14" xfId="19" applyNumberFormat="1" applyFont="1" applyFill="1" applyBorder="1" applyAlignment="1">
      <alignment horizontal="center" vertical="center"/>
    </xf>
    <xf numFmtId="49" fontId="59" fillId="0" borderId="13" xfId="19" applyNumberFormat="1" applyFont="1" applyFill="1" applyBorder="1" applyAlignment="1">
      <alignment horizontal="center" vertical="center"/>
    </xf>
    <xf numFmtId="49" fontId="59" fillId="0" borderId="14" xfId="19" applyNumberFormat="1" applyFont="1" applyFill="1" applyBorder="1" applyAlignment="1">
      <alignment horizontal="center" vertical="center"/>
    </xf>
    <xf numFmtId="0" fontId="59" fillId="0" borderId="12" xfId="19" applyFont="1" applyFill="1" applyBorder="1" applyAlignment="1">
      <alignment horizontal="left" vertical="top" wrapText="1"/>
    </xf>
    <xf numFmtId="0" fontId="59" fillId="0" borderId="3" xfId="19" applyFont="1" applyFill="1" applyBorder="1" applyAlignment="1">
      <alignment horizontal="left" vertical="top" wrapText="1"/>
    </xf>
    <xf numFmtId="0" fontId="59" fillId="0" borderId="13" xfId="19" applyFont="1" applyFill="1" applyBorder="1" applyAlignment="1">
      <alignment horizontal="left" vertical="top" wrapText="1"/>
    </xf>
    <xf numFmtId="0" fontId="59" fillId="0" borderId="0" xfId="19" applyFont="1" applyFill="1" applyBorder="1" applyAlignment="1">
      <alignment horizontal="left" vertical="top" wrapText="1"/>
    </xf>
    <xf numFmtId="0" fontId="59" fillId="0" borderId="15" xfId="19" applyFont="1" applyFill="1" applyBorder="1" applyAlignment="1">
      <alignment horizontal="left" vertical="top" wrapText="1"/>
    </xf>
    <xf numFmtId="0" fontId="59" fillId="0" borderId="5" xfId="19" applyFont="1" applyFill="1" applyBorder="1" applyAlignment="1">
      <alignment horizontal="left" vertical="top" wrapText="1"/>
    </xf>
    <xf numFmtId="49" fontId="50" fillId="0" borderId="15" xfId="19" applyNumberFormat="1" applyFont="1" applyFill="1" applyBorder="1" applyAlignment="1">
      <alignment horizontal="center" vertical="center"/>
    </xf>
    <xf numFmtId="49" fontId="50" fillId="0" borderId="11" xfId="19" applyNumberFormat="1" applyFont="1" applyFill="1" applyBorder="1" applyAlignment="1">
      <alignment horizontal="center" vertical="center"/>
    </xf>
    <xf numFmtId="49" fontId="59" fillId="0" borderId="15" xfId="19" applyNumberFormat="1" applyFont="1" applyFill="1" applyBorder="1" applyAlignment="1">
      <alignment horizontal="center" vertical="center"/>
    </xf>
    <xf numFmtId="49" fontId="59" fillId="0" borderId="11" xfId="19" applyNumberFormat="1" applyFont="1" applyFill="1" applyBorder="1" applyAlignment="1">
      <alignment horizontal="center" vertical="center"/>
    </xf>
    <xf numFmtId="3" fontId="44" fillId="0" borderId="2" xfId="19" applyNumberFormat="1" applyFont="1" applyFill="1" applyBorder="1" applyAlignment="1">
      <alignment horizontal="center" vertical="top" wrapText="1"/>
    </xf>
    <xf numFmtId="3" fontId="44" fillId="0" borderId="4" xfId="19" applyNumberFormat="1" applyFont="1" applyFill="1" applyBorder="1" applyAlignment="1">
      <alignment horizontal="center" vertical="top" wrapText="1"/>
    </xf>
    <xf numFmtId="0" fontId="35" fillId="0" borderId="9" xfId="19" applyFont="1" applyFill="1" applyBorder="1" applyAlignment="1">
      <alignment horizontal="center" vertical="center"/>
    </xf>
    <xf numFmtId="0" fontId="35" fillId="0" borderId="7" xfId="21" applyFont="1" applyFill="1" applyBorder="1" applyAlignment="1">
      <alignment horizontal="center" vertical="center"/>
    </xf>
    <xf numFmtId="0" fontId="43" fillId="0" borderId="12" xfId="19" applyFont="1" applyFill="1" applyBorder="1" applyAlignment="1">
      <alignment horizontal="left" vertical="center" wrapText="1"/>
    </xf>
    <xf numFmtId="0" fontId="43" fillId="0" borderId="3" xfId="19" applyFont="1" applyFill="1" applyBorder="1" applyAlignment="1">
      <alignment horizontal="left" vertical="center" wrapText="1"/>
    </xf>
    <xf numFmtId="0" fontId="43" fillId="0" borderId="13" xfId="19" applyFont="1" applyFill="1" applyBorder="1" applyAlignment="1">
      <alignment horizontal="left" vertical="center" wrapText="1"/>
    </xf>
    <xf numFmtId="0" fontId="43" fillId="0" borderId="0" xfId="19" applyFont="1" applyFill="1" applyBorder="1" applyAlignment="1">
      <alignment horizontal="left" vertical="center" wrapText="1"/>
    </xf>
    <xf numFmtId="0" fontId="43" fillId="0" borderId="15" xfId="19" applyFont="1" applyFill="1" applyBorder="1" applyAlignment="1">
      <alignment horizontal="left" vertical="center" wrapText="1"/>
    </xf>
    <xf numFmtId="0" fontId="43" fillId="0" borderId="5" xfId="19" applyFont="1" applyFill="1" applyBorder="1" applyAlignment="1">
      <alignment horizontal="left" vertical="center" wrapText="1"/>
    </xf>
    <xf numFmtId="3" fontId="15" fillId="0" borderId="0" xfId="19" applyNumberFormat="1" applyFont="1" applyFill="1" applyAlignment="1">
      <alignment horizontal="left" vertical="center"/>
    </xf>
    <xf numFmtId="0" fontId="22" fillId="0" borderId="0" xfId="19" applyNumberFormat="1" applyFont="1" applyFill="1" applyAlignment="1">
      <alignment horizontal="left" vertical="center" wrapText="1"/>
    </xf>
    <xf numFmtId="0" fontId="17" fillId="0" borderId="0" xfId="19" applyNumberFormat="1" applyFont="1" applyFill="1" applyAlignment="1">
      <alignment horizontal="left" vertical="center" wrapText="1"/>
    </xf>
    <xf numFmtId="0" fontId="44" fillId="0" borderId="12" xfId="19" applyFont="1" applyFill="1" applyBorder="1" applyAlignment="1">
      <alignment horizontal="center" vertical="top" wrapText="1"/>
    </xf>
    <xf numFmtId="0" fontId="44" fillId="0" borderId="10" xfId="19" applyFont="1" applyFill="1" applyBorder="1" applyAlignment="1">
      <alignment horizontal="center" vertical="top" wrapText="1"/>
    </xf>
    <xf numFmtId="0" fontId="44" fillId="0" borderId="13" xfId="19" applyFont="1" applyFill="1" applyBorder="1" applyAlignment="1">
      <alignment horizontal="center" vertical="top" wrapText="1"/>
    </xf>
    <xf numFmtId="0" fontId="44" fillId="0" borderId="14" xfId="19" applyFont="1" applyFill="1" applyBorder="1" applyAlignment="1">
      <alignment horizontal="center" vertical="top" wrapText="1"/>
    </xf>
    <xf numFmtId="0" fontId="44" fillId="0" borderId="15" xfId="19" applyFont="1" applyFill="1" applyBorder="1" applyAlignment="1">
      <alignment horizontal="center" vertical="top" wrapText="1"/>
    </xf>
    <xf numFmtId="0" fontId="44" fillId="0" borderId="11" xfId="19" applyFont="1" applyFill="1" applyBorder="1" applyAlignment="1">
      <alignment horizontal="center" vertical="top" wrapText="1"/>
    </xf>
    <xf numFmtId="0" fontId="3" fillId="0" borderId="10" xfId="21" applyFill="1" applyBorder="1" applyAlignment="1">
      <alignment vertical="top"/>
    </xf>
    <xf numFmtId="0" fontId="3" fillId="0" borderId="13" xfId="21" applyFill="1" applyBorder="1" applyAlignment="1">
      <alignment vertical="top"/>
    </xf>
    <xf numFmtId="0" fontId="3" fillId="0" borderId="14" xfId="21" applyFill="1" applyBorder="1" applyAlignment="1">
      <alignment vertical="top"/>
    </xf>
    <xf numFmtId="0" fontId="3" fillId="0" borderId="2" xfId="2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10" fillId="0" borderId="2" xfId="21" applyFont="1" applyFill="1" applyBorder="1" applyAlignment="1">
      <alignment horizontal="center" vertical="top"/>
    </xf>
    <xf numFmtId="0" fontId="10" fillId="0" borderId="8" xfId="21" applyFont="1" applyFill="1" applyBorder="1" applyAlignment="1">
      <alignment horizontal="center" vertical="top"/>
    </xf>
    <xf numFmtId="0" fontId="10" fillId="0" borderId="4" xfId="21" applyFont="1" applyFill="1" applyBorder="1" applyAlignment="1">
      <alignment horizontal="center" vertical="top"/>
    </xf>
    <xf numFmtId="3" fontId="44" fillId="0" borderId="9" xfId="19" applyNumberFormat="1" applyFont="1" applyFill="1" applyBorder="1" applyAlignment="1">
      <alignment horizontal="center" vertical="top" wrapText="1"/>
    </xf>
    <xf numFmtId="3" fontId="44" fillId="0" borderId="6" xfId="19" applyNumberFormat="1" applyFont="1" applyFill="1" applyBorder="1" applyAlignment="1">
      <alignment horizontal="center" vertical="top" wrapText="1"/>
    </xf>
    <xf numFmtId="3" fontId="44" fillId="0" borderId="7" xfId="19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3" fontId="15" fillId="0" borderId="0" xfId="19" applyNumberFormat="1" applyFont="1" applyFill="1" applyAlignment="1" applyProtection="1">
      <alignment horizontal="left"/>
    </xf>
    <xf numFmtId="3" fontId="15" fillId="0" borderId="0" xfId="19" applyNumberFormat="1" applyFont="1" applyFill="1" applyAlignment="1" applyProtection="1">
      <alignment horizontal="left" wrapText="1"/>
    </xf>
    <xf numFmtId="0" fontId="15" fillId="0" borderId="0" xfId="19" applyNumberFormat="1" applyFont="1" applyFill="1" applyAlignment="1" applyProtection="1">
      <alignment horizontal="justify" wrapText="1"/>
    </xf>
    <xf numFmtId="0" fontId="18" fillId="0" borderId="2" xfId="19" applyFont="1" applyFill="1" applyBorder="1" applyAlignment="1">
      <alignment horizontal="center" vertical="top"/>
    </xf>
    <xf numFmtId="0" fontId="18" fillId="0" borderId="4" xfId="19" applyFont="1" applyFill="1" applyBorder="1" applyAlignment="1">
      <alignment horizontal="center" vertical="top"/>
    </xf>
    <xf numFmtId="0" fontId="18" fillId="0" borderId="9" xfId="19" applyFont="1" applyFill="1" applyBorder="1" applyAlignment="1">
      <alignment horizontal="center" vertical="top" wrapText="1"/>
    </xf>
    <xf numFmtId="0" fontId="18" fillId="0" borderId="7" xfId="19" applyFont="1" applyFill="1" applyBorder="1" applyAlignment="1">
      <alignment horizontal="center" vertical="top" wrapText="1"/>
    </xf>
    <xf numFmtId="0" fontId="18" fillId="0" borderId="2" xfId="19" applyFont="1" applyFill="1" applyBorder="1" applyAlignment="1">
      <alignment horizontal="center" vertical="top" wrapText="1"/>
    </xf>
    <xf numFmtId="0" fontId="18" fillId="0" borderId="4" xfId="19" applyFont="1" applyFill="1" applyBorder="1" applyAlignment="1">
      <alignment horizontal="center" vertical="top" wrapText="1"/>
    </xf>
    <xf numFmtId="3" fontId="18" fillId="0" borderId="2" xfId="19" applyNumberFormat="1" applyFont="1" applyFill="1" applyBorder="1" applyAlignment="1">
      <alignment horizontal="center" vertical="top" wrapText="1"/>
    </xf>
    <xf numFmtId="3" fontId="18" fillId="0" borderId="4" xfId="19" applyNumberFormat="1" applyFont="1" applyFill="1" applyBorder="1" applyAlignment="1">
      <alignment horizontal="center" vertical="top" wrapText="1"/>
    </xf>
    <xf numFmtId="0" fontId="17" fillId="0" borderId="12" xfId="19" applyFont="1" applyFill="1" applyBorder="1" applyAlignment="1">
      <alignment horizontal="center" vertical="center" wrapText="1"/>
    </xf>
    <xf numFmtId="0" fontId="17" fillId="0" borderId="3" xfId="19" applyFont="1" applyFill="1" applyBorder="1" applyAlignment="1">
      <alignment horizontal="center" vertical="center" wrapText="1"/>
    </xf>
    <xf numFmtId="0" fontId="17" fillId="0" borderId="10" xfId="1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7" fillId="0" borderId="9" xfId="19" applyFont="1" applyFill="1" applyBorder="1" applyAlignment="1">
      <alignment horizontal="center" vertical="center" wrapText="1"/>
    </xf>
    <xf numFmtId="0" fontId="17" fillId="0" borderId="6" xfId="19" applyFont="1" applyFill="1" applyBorder="1" applyAlignment="1">
      <alignment horizontal="center" vertical="center" wrapText="1"/>
    </xf>
    <xf numFmtId="0" fontId="17" fillId="0" borderId="7" xfId="19" applyFont="1" applyFill="1" applyBorder="1" applyAlignment="1">
      <alignment horizontal="center" vertical="center" wrapText="1"/>
    </xf>
    <xf numFmtId="9" fontId="24" fillId="0" borderId="2" xfId="22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9" fontId="24" fillId="0" borderId="2" xfId="22" applyFont="1" applyFill="1" applyBorder="1" applyAlignment="1">
      <alignment horizontal="justify" vertical="top" wrapText="1"/>
    </xf>
    <xf numFmtId="0" fontId="0" fillId="0" borderId="8" xfId="0" applyFill="1" applyBorder="1" applyAlignment="1">
      <alignment horizontal="justify" vertical="top" wrapText="1"/>
    </xf>
    <xf numFmtId="0" fontId="0" fillId="0" borderId="4" xfId="0" applyFill="1" applyBorder="1" applyAlignment="1">
      <alignment horizontal="justify" vertical="top" wrapText="1"/>
    </xf>
    <xf numFmtId="0" fontId="24" fillId="0" borderId="2" xfId="19" applyFont="1" applyFill="1" applyBorder="1" applyAlignment="1">
      <alignment vertical="top" wrapText="1"/>
    </xf>
    <xf numFmtId="0" fontId="24" fillId="0" borderId="2" xfId="19" applyFont="1" applyFill="1" applyBorder="1" applyAlignment="1">
      <alignment horizontal="justify" vertical="top" wrapText="1"/>
    </xf>
    <xf numFmtId="49" fontId="24" fillId="0" borderId="2" xfId="19" applyNumberFormat="1" applyFont="1" applyFill="1" applyBorder="1" applyAlignment="1">
      <alignment horizontal="center" vertical="top" wrapText="1"/>
    </xf>
    <xf numFmtId="49" fontId="24" fillId="0" borderId="8" xfId="19" applyNumberFormat="1" applyFont="1" applyFill="1" applyBorder="1" applyAlignment="1">
      <alignment horizontal="center" vertical="top" wrapText="1"/>
    </xf>
    <xf numFmtId="49" fontId="24" fillId="0" borderId="4" xfId="19" applyNumberFormat="1" applyFont="1" applyFill="1" applyBorder="1" applyAlignment="1">
      <alignment horizontal="center" vertical="top" wrapText="1"/>
    </xf>
    <xf numFmtId="0" fontId="24" fillId="0" borderId="2" xfId="19" applyFont="1" applyFill="1" applyBorder="1" applyAlignment="1">
      <alignment horizontal="left" vertical="top" wrapText="1"/>
    </xf>
    <xf numFmtId="0" fontId="24" fillId="0" borderId="8" xfId="19" applyFont="1" applyFill="1" applyBorder="1" applyAlignment="1">
      <alignment horizontal="left" vertical="top" wrapText="1"/>
    </xf>
    <xf numFmtId="0" fontId="24" fillId="0" borderId="4" xfId="19" applyFont="1" applyFill="1" applyBorder="1" applyAlignment="1">
      <alignment horizontal="left" vertical="top" wrapText="1"/>
    </xf>
    <xf numFmtId="0" fontId="84" fillId="0" borderId="9" xfId="31" applyFont="1" applyBorder="1" applyAlignment="1">
      <alignment horizontal="right" vertical="center"/>
    </xf>
    <xf numFmtId="0" fontId="84" fillId="0" borderId="6" xfId="31" applyFont="1" applyBorder="1" applyAlignment="1">
      <alignment horizontal="right" vertical="center"/>
    </xf>
    <xf numFmtId="0" fontId="84" fillId="0" borderId="7" xfId="31" applyFont="1" applyBorder="1" applyAlignment="1">
      <alignment horizontal="right" vertical="center"/>
    </xf>
    <xf numFmtId="0" fontId="26" fillId="0" borderId="0" xfId="31" applyFont="1" applyAlignment="1">
      <alignment horizontal="center" vertical="top"/>
    </xf>
    <xf numFmtId="0" fontId="24" fillId="0" borderId="0" xfId="19" applyFont="1" applyAlignment="1">
      <alignment horizontal="left" vertical="center" wrapText="1"/>
    </xf>
    <xf numFmtId="0" fontId="16" fillId="0" borderId="0" xfId="19" applyFont="1" applyAlignment="1">
      <alignment horizontal="center" vertical="center"/>
    </xf>
    <xf numFmtId="0" fontId="84" fillId="0" borderId="12" xfId="31" applyFont="1" applyBorder="1" applyAlignment="1">
      <alignment horizontal="center" vertical="center"/>
    </xf>
    <xf numFmtId="0" fontId="84" fillId="0" borderId="15" xfId="31" applyFont="1" applyBorder="1" applyAlignment="1">
      <alignment horizontal="center" vertical="center"/>
    </xf>
    <xf numFmtId="0" fontId="84" fillId="0" borderId="2" xfId="31" applyFont="1" applyBorder="1" applyAlignment="1">
      <alignment horizontal="center" vertical="center" wrapText="1"/>
    </xf>
    <xf numFmtId="0" fontId="84" fillId="0" borderId="4" xfId="31" applyFont="1" applyBorder="1" applyAlignment="1">
      <alignment horizontal="center" vertical="center" wrapText="1"/>
    </xf>
    <xf numFmtId="0" fontId="84" fillId="0" borderId="10" xfId="31" applyFont="1" applyBorder="1" applyAlignment="1">
      <alignment horizontal="center" vertical="center"/>
    </xf>
    <xf numFmtId="0" fontId="84" fillId="0" borderId="11" xfId="31" applyFont="1" applyBorder="1" applyAlignment="1">
      <alignment horizontal="center" vertical="center"/>
    </xf>
    <xf numFmtId="0" fontId="84" fillId="0" borderId="9" xfId="31" applyFont="1" applyBorder="1" applyAlignment="1">
      <alignment horizontal="center" vertical="top"/>
    </xf>
    <xf numFmtId="0" fontId="84" fillId="0" borderId="6" xfId="31" applyFont="1" applyBorder="1" applyAlignment="1">
      <alignment horizontal="center" vertical="top"/>
    </xf>
    <xf numFmtId="0" fontId="84" fillId="0" borderId="7" xfId="31" applyFont="1" applyBorder="1" applyAlignment="1">
      <alignment horizontal="center" vertical="top"/>
    </xf>
    <xf numFmtId="0" fontId="8" fillId="0" borderId="9" xfId="32" applyFont="1" applyBorder="1" applyAlignment="1">
      <alignment horizontal="center"/>
    </xf>
    <xf numFmtId="0" fontId="8" fillId="0" borderId="6" xfId="32" applyFont="1" applyBorder="1" applyAlignment="1">
      <alignment horizontal="center"/>
    </xf>
    <xf numFmtId="0" fontId="8" fillId="0" borderId="7" xfId="32" applyFont="1" applyBorder="1" applyAlignment="1">
      <alignment horizontal="center"/>
    </xf>
  </cellXfs>
  <cellStyles count="33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10" xfId="5" xr:uid="{00000000-0005-0000-0000-000005000000}"/>
    <cellStyle name="Normalny 11 2" xfId="20" xr:uid="{00000000-0005-0000-0000-000006000000}"/>
    <cellStyle name="Normalny 12" xfId="25" xr:uid="{00000000-0005-0000-0000-000007000000}"/>
    <cellStyle name="Normalny 14" xfId="18" xr:uid="{00000000-0005-0000-0000-000008000000}"/>
    <cellStyle name="Normalny 2" xfId="6" xr:uid="{00000000-0005-0000-0000-000009000000}"/>
    <cellStyle name="Normalny 2 2" xfId="7" xr:uid="{00000000-0005-0000-0000-00000A000000}"/>
    <cellStyle name="Normalny 2_RDW" xfId="8" xr:uid="{00000000-0005-0000-0000-00000B000000}"/>
    <cellStyle name="Normalny 3" xfId="9" xr:uid="{00000000-0005-0000-0000-00000C000000}"/>
    <cellStyle name="Normalny 4" xfId="10" xr:uid="{00000000-0005-0000-0000-00000D000000}"/>
    <cellStyle name="Normalny 5" xfId="11" xr:uid="{00000000-0005-0000-0000-00000E000000}"/>
    <cellStyle name="Normalny 6" xfId="12" xr:uid="{00000000-0005-0000-0000-00000F000000}"/>
    <cellStyle name="Normalny 7" xfId="13" xr:uid="{00000000-0005-0000-0000-000010000000}"/>
    <cellStyle name="Normalny 7 2" xfId="31" xr:uid="{00000000-0005-0000-0000-000011000000}"/>
    <cellStyle name="Normalny 8" xfId="14" xr:uid="{00000000-0005-0000-0000-000012000000}"/>
    <cellStyle name="Normalny 9" xfId="15" xr:uid="{00000000-0005-0000-0000-000013000000}"/>
    <cellStyle name="Normalny_IZ 2011" xfId="28" xr:uid="{00000000-0005-0000-0000-000014000000}"/>
    <cellStyle name="Normalny_RDW 2014" xfId="32" xr:uid="{00000000-0005-0000-0000-000015000000}"/>
    <cellStyle name="Normalny_RPO 2011" xfId="29" xr:uid="{00000000-0005-0000-0000-000016000000}"/>
    <cellStyle name="Normalny_Załącznik  nr 7  RPO na 2010" xfId="27" xr:uid="{00000000-0005-0000-0000-000017000000}"/>
    <cellStyle name="Normalny_załącznik nr 1" xfId="17" xr:uid="{00000000-0005-0000-0000-000018000000}"/>
    <cellStyle name="Normalny_Załącznik nr 3  do proj. budżetu na 2006r._Zał. Nr 3 i Nr 21 do proj.budż.po Autopoprawce" xfId="24" xr:uid="{00000000-0005-0000-0000-000019000000}"/>
    <cellStyle name="Normalny_Załącznik nr 3  do proj. budżetu na 2006r._Załączniki Nr 3 do US z dnia 22.12.2008 r." xfId="26" xr:uid="{00000000-0005-0000-0000-00001A000000}"/>
    <cellStyle name="Normalny_Załącznik nr 9  PROW na 2010" xfId="30" xr:uid="{00000000-0005-0000-0000-00001B000000}"/>
    <cellStyle name="Normalny_Załączniki do  budżetu na 2005 r" xfId="19" xr:uid="{00000000-0005-0000-0000-00001C000000}"/>
    <cellStyle name="Normalny_Załączniki do budżetu na 2006 r._Zał. Nr 3 i Nr 21 do proj.budż.po Autopoprawce" xfId="23" xr:uid="{00000000-0005-0000-0000-00001D000000}"/>
    <cellStyle name="Normalny_Załączniki do projektu budżetu na 2009 r." xfId="21" xr:uid="{00000000-0005-0000-0000-00001E000000}"/>
    <cellStyle name="Procentowy 2" xfId="22" xr:uid="{00000000-0005-0000-0000-00001F000000}"/>
    <cellStyle name="Styl 1" xfId="16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9"/>
  <sheetViews>
    <sheetView view="pageBreakPreview" zoomScaleNormal="100" zoomScaleSheetLayoutView="100" workbookViewId="0">
      <selection activeCell="B25" sqref="B25:B27"/>
    </sheetView>
  </sheetViews>
  <sheetFormatPr defaultColWidth="8" defaultRowHeight="12.75"/>
  <cols>
    <col min="1" max="1" width="5" style="142" customWidth="1"/>
    <col min="2" max="2" width="27.625" style="141" customWidth="1"/>
    <col min="3" max="3" width="3.125" style="141" customWidth="1"/>
    <col min="4" max="4" width="12.875" style="140" customWidth="1"/>
    <col min="5" max="7" width="11.375" style="139" customWidth="1"/>
    <col min="8" max="9" width="11.125" style="139" customWidth="1"/>
    <col min="10" max="11" width="10.875" style="139" customWidth="1"/>
    <col min="12" max="14" width="11.375" style="139" customWidth="1"/>
    <col min="15" max="15" width="11.125" style="139" customWidth="1"/>
    <col min="16" max="17" width="11.375" style="139" customWidth="1"/>
    <col min="18" max="19" width="8" style="139" customWidth="1"/>
    <col min="20" max="16384" width="8" style="139"/>
  </cols>
  <sheetData>
    <row r="1" spans="1:22">
      <c r="A1" s="146"/>
      <c r="B1" s="145"/>
      <c r="C1" s="145"/>
      <c r="D1" s="144"/>
      <c r="E1" s="143"/>
      <c r="F1" s="143"/>
      <c r="G1" s="143"/>
      <c r="H1" s="143"/>
      <c r="I1" s="143"/>
      <c r="J1" s="143"/>
      <c r="K1" s="143"/>
      <c r="L1" s="143"/>
      <c r="M1" s="143"/>
      <c r="N1" s="143" t="s">
        <v>473</v>
      </c>
      <c r="O1" s="143"/>
      <c r="P1" s="143"/>
      <c r="Q1" s="143"/>
    </row>
    <row r="2" spans="1:22">
      <c r="A2" s="146"/>
      <c r="B2" s="145"/>
      <c r="C2" s="145"/>
      <c r="D2" s="144"/>
      <c r="E2" s="143"/>
      <c r="F2" s="143"/>
      <c r="G2" s="143"/>
      <c r="H2" s="143"/>
      <c r="I2" s="143"/>
      <c r="J2" s="143"/>
      <c r="K2" s="143"/>
      <c r="L2" s="143"/>
      <c r="M2" s="143"/>
      <c r="N2" s="143" t="s">
        <v>472</v>
      </c>
      <c r="O2" s="143"/>
      <c r="P2" s="143"/>
      <c r="Q2" s="143"/>
    </row>
    <row r="3" spans="1:22">
      <c r="A3" s="146"/>
      <c r="B3" s="145"/>
      <c r="C3" s="145"/>
      <c r="D3" s="144"/>
      <c r="E3" s="143"/>
      <c r="F3" s="143"/>
      <c r="G3" s="143"/>
      <c r="H3" s="143"/>
      <c r="I3" s="143"/>
      <c r="J3" s="143"/>
      <c r="K3" s="143"/>
      <c r="L3" s="143"/>
      <c r="M3" s="143"/>
      <c r="N3" s="143" t="s">
        <v>471</v>
      </c>
      <c r="O3" s="143"/>
      <c r="P3" s="143"/>
      <c r="Q3" s="143"/>
    </row>
    <row r="4" spans="1:22" ht="21.75" customHeight="1">
      <c r="A4" s="856"/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</row>
    <row r="5" spans="1:22" ht="42.75" customHeight="1">
      <c r="A5" s="857" t="s">
        <v>470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234"/>
      <c r="S5" s="234"/>
      <c r="T5" s="234"/>
      <c r="U5" s="234"/>
      <c r="V5" s="234"/>
    </row>
    <row r="6" spans="1:22">
      <c r="A6" s="146"/>
      <c r="B6" s="145"/>
      <c r="C6" s="145"/>
      <c r="D6" s="144"/>
      <c r="E6" s="143"/>
      <c r="F6" s="143"/>
      <c r="G6" s="233"/>
      <c r="H6" s="233"/>
      <c r="I6" s="233"/>
      <c r="J6" s="233"/>
      <c r="K6" s="233"/>
      <c r="L6" s="233"/>
      <c r="M6" s="233"/>
      <c r="N6" s="143"/>
      <c r="O6" s="143"/>
      <c r="P6" s="232"/>
      <c r="Q6" s="232" t="s">
        <v>0</v>
      </c>
    </row>
    <row r="7" spans="1:22" s="229" customFormat="1" ht="21" customHeight="1">
      <c r="A7" s="858" t="s">
        <v>1</v>
      </c>
      <c r="B7" s="861" t="s">
        <v>78</v>
      </c>
      <c r="C7" s="858" t="s">
        <v>11</v>
      </c>
      <c r="D7" s="864" t="s">
        <v>79</v>
      </c>
      <c r="E7" s="852" t="s">
        <v>469</v>
      </c>
      <c r="F7" s="854" t="s">
        <v>468</v>
      </c>
      <c r="G7" s="852" t="s">
        <v>467</v>
      </c>
      <c r="H7" s="869"/>
      <c r="I7" s="869"/>
      <c r="J7" s="869"/>
      <c r="K7" s="869"/>
      <c r="L7" s="869"/>
      <c r="M7" s="869"/>
      <c r="N7" s="869"/>
      <c r="O7" s="869"/>
      <c r="P7" s="869"/>
      <c r="Q7" s="870"/>
    </row>
    <row r="8" spans="1:22" s="229" customFormat="1" ht="21" customHeight="1">
      <c r="A8" s="859"/>
      <c r="B8" s="862"/>
      <c r="C8" s="859"/>
      <c r="D8" s="865"/>
      <c r="E8" s="867"/>
      <c r="F8" s="868"/>
      <c r="G8" s="871" t="s">
        <v>466</v>
      </c>
      <c r="H8" s="872"/>
      <c r="I8" s="872"/>
      <c r="J8" s="872"/>
      <c r="K8" s="872"/>
      <c r="L8" s="872"/>
      <c r="M8" s="873"/>
      <c r="N8" s="871" t="s">
        <v>465</v>
      </c>
      <c r="O8" s="872"/>
      <c r="P8" s="872"/>
      <c r="Q8" s="873"/>
    </row>
    <row r="9" spans="1:22" s="229" customFormat="1" ht="29.25" customHeight="1">
      <c r="A9" s="859"/>
      <c r="B9" s="862"/>
      <c r="C9" s="859"/>
      <c r="D9" s="865"/>
      <c r="E9" s="867"/>
      <c r="F9" s="868"/>
      <c r="G9" s="864" t="s">
        <v>464</v>
      </c>
      <c r="H9" s="874" t="s">
        <v>463</v>
      </c>
      <c r="I9" s="875"/>
      <c r="J9" s="854" t="s">
        <v>460</v>
      </c>
      <c r="K9" s="854" t="s">
        <v>459</v>
      </c>
      <c r="L9" s="854" t="s">
        <v>462</v>
      </c>
      <c r="M9" s="852" t="s">
        <v>458</v>
      </c>
      <c r="N9" s="854" t="s">
        <v>461</v>
      </c>
      <c r="O9" s="854" t="s">
        <v>460</v>
      </c>
      <c r="P9" s="852" t="s">
        <v>459</v>
      </c>
      <c r="Q9" s="854" t="s">
        <v>458</v>
      </c>
    </row>
    <row r="10" spans="1:22" s="229" customFormat="1" ht="44.25" customHeight="1">
      <c r="A10" s="860"/>
      <c r="B10" s="863"/>
      <c r="C10" s="860"/>
      <c r="D10" s="866"/>
      <c r="E10" s="853"/>
      <c r="F10" s="855"/>
      <c r="G10" s="853"/>
      <c r="H10" s="231" t="s">
        <v>457</v>
      </c>
      <c r="I10" s="230" t="s">
        <v>456</v>
      </c>
      <c r="J10" s="855"/>
      <c r="K10" s="855"/>
      <c r="L10" s="855"/>
      <c r="M10" s="853"/>
      <c r="N10" s="855"/>
      <c r="O10" s="855"/>
      <c r="P10" s="853"/>
      <c r="Q10" s="855"/>
    </row>
    <row r="11" spans="1:22" s="224" customFormat="1" ht="12" customHeight="1">
      <c r="A11" s="225" t="s">
        <v>455</v>
      </c>
      <c r="B11" s="228" t="s">
        <v>454</v>
      </c>
      <c r="C11" s="228"/>
      <c r="D11" s="225" t="s">
        <v>453</v>
      </c>
      <c r="E11" s="225" t="s">
        <v>452</v>
      </c>
      <c r="F11" s="225" t="s">
        <v>451</v>
      </c>
      <c r="G11" s="226" t="s">
        <v>450</v>
      </c>
      <c r="H11" s="225" t="s">
        <v>449</v>
      </c>
      <c r="I11" s="227" t="s">
        <v>448</v>
      </c>
      <c r="J11" s="225" t="s">
        <v>447</v>
      </c>
      <c r="K11" s="225" t="s">
        <v>446</v>
      </c>
      <c r="L11" s="225" t="s">
        <v>445</v>
      </c>
      <c r="M11" s="225" t="s">
        <v>444</v>
      </c>
      <c r="N11" s="225" t="s">
        <v>443</v>
      </c>
      <c r="O11" s="225" t="s">
        <v>442</v>
      </c>
      <c r="P11" s="226" t="s">
        <v>441</v>
      </c>
      <c r="Q11" s="225" t="s">
        <v>440</v>
      </c>
    </row>
    <row r="12" spans="1:22" s="218" customFormat="1" ht="5.0999999999999996" customHeight="1">
      <c r="A12" s="223"/>
      <c r="B12" s="222"/>
      <c r="C12" s="222"/>
      <c r="D12" s="221"/>
      <c r="E12" s="220"/>
      <c r="F12" s="220"/>
      <c r="G12" s="220"/>
      <c r="H12" s="219"/>
      <c r="I12" s="220"/>
      <c r="J12" s="220"/>
      <c r="K12" s="220"/>
      <c r="L12" s="220"/>
      <c r="M12" s="220"/>
      <c r="N12" s="220"/>
      <c r="O12" s="220"/>
      <c r="P12" s="220"/>
      <c r="Q12" s="219"/>
    </row>
    <row r="13" spans="1:22" s="199" customFormat="1" ht="20.100000000000001" customHeight="1">
      <c r="A13" s="846" t="s">
        <v>439</v>
      </c>
      <c r="B13" s="847"/>
      <c r="C13" s="216" t="s">
        <v>13</v>
      </c>
      <c r="D13" s="217">
        <f>SUM(E13:Q13)</f>
        <v>901239702</v>
      </c>
      <c r="E13" s="201">
        <f t="shared" ref="E13:Q13" si="0">E17+E21+E29+E33+E41+E45+E49+E53+E57+E61+E65+E69+E73+E77+E81+E85+E93+E97+E101+E25+E89+E37</f>
        <v>575831387</v>
      </c>
      <c r="F13" s="201">
        <f t="shared" si="0"/>
        <v>21404396</v>
      </c>
      <c r="G13" s="201">
        <f t="shared" si="0"/>
        <v>124564998</v>
      </c>
      <c r="H13" s="201">
        <f t="shared" si="0"/>
        <v>62292325</v>
      </c>
      <c r="I13" s="201">
        <f t="shared" si="0"/>
        <v>31611705</v>
      </c>
      <c r="J13" s="201">
        <f t="shared" si="0"/>
        <v>967331</v>
      </c>
      <c r="K13" s="201">
        <f t="shared" si="0"/>
        <v>58000</v>
      </c>
      <c r="L13" s="201">
        <f t="shared" si="0"/>
        <v>1177643</v>
      </c>
      <c r="M13" s="201">
        <f t="shared" si="0"/>
        <v>445</v>
      </c>
      <c r="N13" s="201">
        <f t="shared" si="0"/>
        <v>55623806</v>
      </c>
      <c r="O13" s="201">
        <f t="shared" si="0"/>
        <v>4999122</v>
      </c>
      <c r="P13" s="215">
        <f t="shared" si="0"/>
        <v>19503358</v>
      </c>
      <c r="Q13" s="201">
        <f t="shared" si="0"/>
        <v>3205186</v>
      </c>
      <c r="T13" s="200"/>
    </row>
    <row r="14" spans="1:22" s="199" customFormat="1" ht="20.100000000000001" customHeight="1">
      <c r="A14" s="848"/>
      <c r="B14" s="849"/>
      <c r="C14" s="216" t="s">
        <v>14</v>
      </c>
      <c r="D14" s="201">
        <f>SUM(E14:Q14)</f>
        <v>29109472</v>
      </c>
      <c r="E14" s="201">
        <f t="shared" ref="E14:Q14" si="1">E18+E22+E30+E34+E42+E46+E50+E54+E58+E62+E66+E70+E74+E78+E82+E86+E94+E98+E102+E26+E90+E38</f>
        <v>5276633</v>
      </c>
      <c r="F14" s="201">
        <f t="shared" si="1"/>
        <v>23708</v>
      </c>
      <c r="G14" s="201">
        <f t="shared" si="1"/>
        <v>21524041</v>
      </c>
      <c r="H14" s="201">
        <f t="shared" si="1"/>
        <v>-123663</v>
      </c>
      <c r="I14" s="201">
        <f t="shared" si="1"/>
        <v>2152669</v>
      </c>
      <c r="J14" s="201">
        <f t="shared" si="1"/>
        <v>183921</v>
      </c>
      <c r="K14" s="201">
        <f t="shared" si="1"/>
        <v>0</v>
      </c>
      <c r="L14" s="201">
        <f t="shared" si="1"/>
        <v>-300192</v>
      </c>
      <c r="M14" s="201">
        <f t="shared" si="1"/>
        <v>0</v>
      </c>
      <c r="N14" s="201">
        <f t="shared" si="1"/>
        <v>0</v>
      </c>
      <c r="O14" s="201">
        <f t="shared" si="1"/>
        <v>47600</v>
      </c>
      <c r="P14" s="215">
        <f t="shared" si="1"/>
        <v>0</v>
      </c>
      <c r="Q14" s="201">
        <f t="shared" si="1"/>
        <v>324755</v>
      </c>
      <c r="T14" s="200"/>
    </row>
    <row r="15" spans="1:22" s="199" customFormat="1" ht="20.100000000000001" customHeight="1">
      <c r="A15" s="850"/>
      <c r="B15" s="851"/>
      <c r="C15" s="216" t="s">
        <v>15</v>
      </c>
      <c r="D15" s="201">
        <f>SUM(E15:Q15)</f>
        <v>930349174</v>
      </c>
      <c r="E15" s="201">
        <f t="shared" ref="E15:Q15" si="2">E19+E23+E31+E35+E43+E47+E51+E55+E59+E63+E67+E71+E75+E79+E83+E87+E95+E99+E103+E27+E91+E39</f>
        <v>581108020</v>
      </c>
      <c r="F15" s="201">
        <f t="shared" si="2"/>
        <v>21428104</v>
      </c>
      <c r="G15" s="201">
        <f t="shared" si="2"/>
        <v>146089039</v>
      </c>
      <c r="H15" s="201">
        <f t="shared" si="2"/>
        <v>62168662</v>
      </c>
      <c r="I15" s="201">
        <f t="shared" si="2"/>
        <v>33764374</v>
      </c>
      <c r="J15" s="201">
        <f t="shared" si="2"/>
        <v>1151252</v>
      </c>
      <c r="K15" s="201">
        <f t="shared" si="2"/>
        <v>58000</v>
      </c>
      <c r="L15" s="201">
        <f t="shared" si="2"/>
        <v>877451</v>
      </c>
      <c r="M15" s="201">
        <f t="shared" si="2"/>
        <v>445</v>
      </c>
      <c r="N15" s="201">
        <f t="shared" si="2"/>
        <v>55623806</v>
      </c>
      <c r="O15" s="201">
        <f t="shared" si="2"/>
        <v>5046722</v>
      </c>
      <c r="P15" s="215">
        <f t="shared" si="2"/>
        <v>19503358</v>
      </c>
      <c r="Q15" s="201">
        <f t="shared" si="2"/>
        <v>3529941</v>
      </c>
      <c r="T15" s="200"/>
    </row>
    <row r="16" spans="1:22" s="192" customFormat="1" ht="5.0999999999999996" customHeight="1">
      <c r="A16" s="198"/>
      <c r="B16" s="197"/>
      <c r="C16" s="197"/>
      <c r="D16" s="177"/>
      <c r="E16" s="196"/>
      <c r="F16" s="176"/>
      <c r="G16" s="176"/>
      <c r="H16" s="194"/>
      <c r="I16" s="176"/>
      <c r="J16" s="176"/>
      <c r="K16" s="195"/>
      <c r="L16" s="176"/>
      <c r="M16" s="176"/>
      <c r="N16" s="176"/>
      <c r="O16" s="176"/>
      <c r="P16" s="176"/>
      <c r="Q16" s="194"/>
      <c r="T16" s="193"/>
    </row>
    <row r="17" spans="1:20" s="188" customFormat="1" ht="18.75" hidden="1" customHeight="1">
      <c r="A17" s="829" t="s">
        <v>16</v>
      </c>
      <c r="B17" s="843" t="s">
        <v>434</v>
      </c>
      <c r="C17" s="169" t="s">
        <v>13</v>
      </c>
      <c r="D17" s="168">
        <f>SUM(E17:Q17)</f>
        <v>12248846</v>
      </c>
      <c r="E17" s="170">
        <v>0</v>
      </c>
      <c r="F17" s="170">
        <v>6092000</v>
      </c>
      <c r="G17" s="171">
        <v>0</v>
      </c>
      <c r="H17" s="170">
        <v>3914000</v>
      </c>
      <c r="I17" s="213">
        <v>2236000</v>
      </c>
      <c r="J17" s="170">
        <v>0</v>
      </c>
      <c r="K17" s="214">
        <v>0</v>
      </c>
      <c r="L17" s="171">
        <v>0</v>
      </c>
      <c r="M17" s="171">
        <v>0</v>
      </c>
      <c r="N17" s="170">
        <v>6846</v>
      </c>
      <c r="O17" s="170">
        <v>0</v>
      </c>
      <c r="P17" s="213">
        <v>0</v>
      </c>
      <c r="Q17" s="170">
        <v>0</v>
      </c>
      <c r="T17" s="189"/>
    </row>
    <row r="18" spans="1:20" s="188" customFormat="1" ht="18.75" hidden="1" customHeight="1">
      <c r="A18" s="830"/>
      <c r="B18" s="844"/>
      <c r="C18" s="169" t="s">
        <v>14</v>
      </c>
      <c r="D18" s="168">
        <f>SUM(E18:Q18)</f>
        <v>0</v>
      </c>
      <c r="E18" s="166">
        <v>0</v>
      </c>
      <c r="F18" s="166">
        <v>0</v>
      </c>
      <c r="G18" s="179">
        <v>0</v>
      </c>
      <c r="H18" s="166">
        <v>0</v>
      </c>
      <c r="I18" s="179">
        <v>0</v>
      </c>
      <c r="J18" s="166">
        <v>0</v>
      </c>
      <c r="K18" s="180">
        <v>0</v>
      </c>
      <c r="L18" s="167">
        <v>0</v>
      </c>
      <c r="M18" s="167">
        <v>0</v>
      </c>
      <c r="N18" s="166">
        <v>0</v>
      </c>
      <c r="O18" s="166">
        <v>0</v>
      </c>
      <c r="P18" s="179">
        <v>0</v>
      </c>
      <c r="Q18" s="166">
        <v>0</v>
      </c>
      <c r="T18" s="189"/>
    </row>
    <row r="19" spans="1:20" s="188" customFormat="1" ht="18.75" hidden="1" customHeight="1">
      <c r="A19" s="831"/>
      <c r="B19" s="845"/>
      <c r="C19" s="169" t="s">
        <v>15</v>
      </c>
      <c r="D19" s="168">
        <f>SUM(E19:Q19)</f>
        <v>12248846</v>
      </c>
      <c r="E19" s="166">
        <f t="shared" ref="E19:Q19" si="3">E17+E18</f>
        <v>0</v>
      </c>
      <c r="F19" s="166">
        <f t="shared" si="3"/>
        <v>6092000</v>
      </c>
      <c r="G19" s="166">
        <f t="shared" si="3"/>
        <v>0</v>
      </c>
      <c r="H19" s="166">
        <f t="shared" si="3"/>
        <v>3914000</v>
      </c>
      <c r="I19" s="166">
        <f t="shared" si="3"/>
        <v>2236000</v>
      </c>
      <c r="J19" s="166">
        <f t="shared" si="3"/>
        <v>0</v>
      </c>
      <c r="K19" s="166">
        <f t="shared" si="3"/>
        <v>0</v>
      </c>
      <c r="L19" s="166">
        <f t="shared" si="3"/>
        <v>0</v>
      </c>
      <c r="M19" s="166">
        <f t="shared" si="3"/>
        <v>0</v>
      </c>
      <c r="N19" s="166">
        <f t="shared" si="3"/>
        <v>6846</v>
      </c>
      <c r="O19" s="166">
        <f t="shared" si="3"/>
        <v>0</v>
      </c>
      <c r="P19" s="167">
        <f t="shared" si="3"/>
        <v>0</v>
      </c>
      <c r="Q19" s="166">
        <f t="shared" si="3"/>
        <v>0</v>
      </c>
      <c r="T19" s="189"/>
    </row>
    <row r="20" spans="1:20" s="188" customFormat="1" ht="2.25" hidden="1" customHeight="1">
      <c r="A20" s="786"/>
      <c r="B20" s="184"/>
      <c r="C20" s="178"/>
      <c r="D20" s="212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170"/>
      <c r="T20" s="189"/>
    </row>
    <row r="21" spans="1:20" s="188" customFormat="1" ht="20.25" hidden="1" customHeight="1">
      <c r="A21" s="829" t="s">
        <v>65</v>
      </c>
      <c r="B21" s="843" t="s">
        <v>66</v>
      </c>
      <c r="C21" s="169" t="s">
        <v>13</v>
      </c>
      <c r="D21" s="168">
        <f>SUM(E21:Q21)</f>
        <v>312000</v>
      </c>
      <c r="E21" s="166">
        <v>0</v>
      </c>
      <c r="F21" s="166">
        <v>0</v>
      </c>
      <c r="G21" s="179">
        <v>0</v>
      </c>
      <c r="H21" s="166">
        <v>186000</v>
      </c>
      <c r="I21" s="179">
        <v>62000</v>
      </c>
      <c r="J21" s="166">
        <v>0</v>
      </c>
      <c r="K21" s="180">
        <v>0</v>
      </c>
      <c r="L21" s="167">
        <v>0</v>
      </c>
      <c r="M21" s="167">
        <v>0</v>
      </c>
      <c r="N21" s="166">
        <v>64000</v>
      </c>
      <c r="O21" s="166">
        <v>0</v>
      </c>
      <c r="P21" s="179">
        <v>0</v>
      </c>
      <c r="Q21" s="166">
        <v>0</v>
      </c>
      <c r="T21" s="189"/>
    </row>
    <row r="22" spans="1:20" s="188" customFormat="1" ht="20.25" hidden="1" customHeight="1">
      <c r="A22" s="830"/>
      <c r="B22" s="844"/>
      <c r="C22" s="169" t="s">
        <v>14</v>
      </c>
      <c r="D22" s="168">
        <f>SUM(E22:Q22)</f>
        <v>0</v>
      </c>
      <c r="E22" s="166">
        <v>0</v>
      </c>
      <c r="F22" s="166">
        <v>0</v>
      </c>
      <c r="G22" s="179">
        <v>0</v>
      </c>
      <c r="H22" s="166">
        <v>0</v>
      </c>
      <c r="I22" s="179">
        <v>0</v>
      </c>
      <c r="J22" s="166">
        <v>0</v>
      </c>
      <c r="K22" s="180">
        <v>0</v>
      </c>
      <c r="L22" s="167">
        <v>0</v>
      </c>
      <c r="M22" s="167">
        <v>0</v>
      </c>
      <c r="N22" s="166">
        <v>0</v>
      </c>
      <c r="O22" s="166">
        <v>0</v>
      </c>
      <c r="P22" s="179">
        <v>0</v>
      </c>
      <c r="Q22" s="166">
        <v>0</v>
      </c>
      <c r="T22" s="189"/>
    </row>
    <row r="23" spans="1:20" s="188" customFormat="1" ht="20.25" hidden="1" customHeight="1">
      <c r="A23" s="831"/>
      <c r="B23" s="845"/>
      <c r="C23" s="169" t="s">
        <v>15</v>
      </c>
      <c r="D23" s="168">
        <f>SUM(E23:Q23)</f>
        <v>312000</v>
      </c>
      <c r="E23" s="166">
        <f t="shared" ref="E23:Q23" si="4">E21+E22</f>
        <v>0</v>
      </c>
      <c r="F23" s="166">
        <f t="shared" si="4"/>
        <v>0</v>
      </c>
      <c r="G23" s="166">
        <f t="shared" si="4"/>
        <v>0</v>
      </c>
      <c r="H23" s="166">
        <f t="shared" si="4"/>
        <v>186000</v>
      </c>
      <c r="I23" s="166">
        <f t="shared" si="4"/>
        <v>62000</v>
      </c>
      <c r="J23" s="166">
        <f t="shared" si="4"/>
        <v>0</v>
      </c>
      <c r="K23" s="166">
        <f t="shared" si="4"/>
        <v>0</v>
      </c>
      <c r="L23" s="166">
        <f t="shared" si="4"/>
        <v>0</v>
      </c>
      <c r="M23" s="166">
        <f t="shared" si="4"/>
        <v>0</v>
      </c>
      <c r="N23" s="166">
        <f t="shared" si="4"/>
        <v>64000</v>
      </c>
      <c r="O23" s="166">
        <f t="shared" si="4"/>
        <v>0</v>
      </c>
      <c r="P23" s="167">
        <f t="shared" si="4"/>
        <v>0</v>
      </c>
      <c r="Q23" s="166">
        <f t="shared" si="4"/>
        <v>0</v>
      </c>
      <c r="T23" s="189"/>
    </row>
    <row r="24" spans="1:20" s="188" customFormat="1" ht="5.25" hidden="1" customHeight="1">
      <c r="A24" s="786"/>
      <c r="B24" s="184"/>
      <c r="C24" s="184"/>
      <c r="D24" s="212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170"/>
      <c r="T24" s="189"/>
    </row>
    <row r="25" spans="1:20" s="188" customFormat="1" ht="18" customHeight="1">
      <c r="A25" s="829" t="s">
        <v>97</v>
      </c>
      <c r="B25" s="843" t="s">
        <v>98</v>
      </c>
      <c r="C25" s="169" t="s">
        <v>13</v>
      </c>
      <c r="D25" s="168">
        <f>SUM(E25:Q25)</f>
        <v>3319067</v>
      </c>
      <c r="E25" s="170">
        <v>0</v>
      </c>
      <c r="F25" s="170">
        <v>117</v>
      </c>
      <c r="G25" s="213">
        <v>0</v>
      </c>
      <c r="H25" s="170">
        <v>0</v>
      </c>
      <c r="I25" s="213">
        <v>0</v>
      </c>
      <c r="J25" s="170">
        <v>0</v>
      </c>
      <c r="K25" s="214">
        <v>0</v>
      </c>
      <c r="L25" s="171">
        <v>113764</v>
      </c>
      <c r="M25" s="170">
        <v>0</v>
      </c>
      <c r="N25" s="170">
        <v>0</v>
      </c>
      <c r="O25" s="170">
        <v>0</v>
      </c>
      <c r="P25" s="213">
        <v>0</v>
      </c>
      <c r="Q25" s="170">
        <v>3205186</v>
      </c>
      <c r="T25" s="189"/>
    </row>
    <row r="26" spans="1:20" s="188" customFormat="1" ht="18" customHeight="1">
      <c r="A26" s="830"/>
      <c r="B26" s="844"/>
      <c r="C26" s="169" t="s">
        <v>14</v>
      </c>
      <c r="D26" s="168">
        <f>SUM(E26:Q26)</f>
        <v>370852</v>
      </c>
      <c r="E26" s="166">
        <v>0</v>
      </c>
      <c r="F26" s="166">
        <v>0</v>
      </c>
      <c r="G26" s="179">
        <v>0</v>
      </c>
      <c r="H26" s="166">
        <v>0</v>
      </c>
      <c r="I26" s="179">
        <v>0</v>
      </c>
      <c r="J26" s="166">
        <v>0</v>
      </c>
      <c r="K26" s="180">
        <v>0</v>
      </c>
      <c r="L26" s="167">
        <v>56097</v>
      </c>
      <c r="M26" s="166">
        <v>0</v>
      </c>
      <c r="N26" s="166">
        <v>0</v>
      </c>
      <c r="O26" s="166">
        <v>0</v>
      </c>
      <c r="P26" s="179">
        <v>0</v>
      </c>
      <c r="Q26" s="166">
        <v>314755</v>
      </c>
      <c r="T26" s="189"/>
    </row>
    <row r="27" spans="1:20" s="188" customFormat="1" ht="18" customHeight="1">
      <c r="A27" s="831"/>
      <c r="B27" s="845"/>
      <c r="C27" s="169" t="s">
        <v>15</v>
      </c>
      <c r="D27" s="168">
        <f>SUM(E27:Q27)</f>
        <v>3689919</v>
      </c>
      <c r="E27" s="166">
        <f t="shared" ref="E27:Q27" si="5">E25+E26</f>
        <v>0</v>
      </c>
      <c r="F27" s="166">
        <f t="shared" si="5"/>
        <v>117</v>
      </c>
      <c r="G27" s="166">
        <f t="shared" si="5"/>
        <v>0</v>
      </c>
      <c r="H27" s="166">
        <f t="shared" si="5"/>
        <v>0</v>
      </c>
      <c r="I27" s="166">
        <f t="shared" si="5"/>
        <v>0</v>
      </c>
      <c r="J27" s="166">
        <f t="shared" si="5"/>
        <v>0</v>
      </c>
      <c r="K27" s="166">
        <f t="shared" si="5"/>
        <v>0</v>
      </c>
      <c r="L27" s="166">
        <f t="shared" si="5"/>
        <v>169861</v>
      </c>
      <c r="M27" s="166">
        <f t="shared" si="5"/>
        <v>0</v>
      </c>
      <c r="N27" s="166">
        <f t="shared" si="5"/>
        <v>0</v>
      </c>
      <c r="O27" s="166">
        <f t="shared" si="5"/>
        <v>0</v>
      </c>
      <c r="P27" s="167">
        <f t="shared" si="5"/>
        <v>0</v>
      </c>
      <c r="Q27" s="166">
        <f t="shared" si="5"/>
        <v>3519941</v>
      </c>
      <c r="T27" s="189"/>
    </row>
    <row r="28" spans="1:20" s="188" customFormat="1" ht="5.0999999999999996" customHeight="1">
      <c r="A28" s="191"/>
      <c r="B28" s="178"/>
      <c r="C28" s="184"/>
      <c r="D28" s="212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170"/>
      <c r="T28" s="189"/>
    </row>
    <row r="29" spans="1:20" s="159" customFormat="1" ht="18" hidden="1" customHeight="1">
      <c r="A29" s="817" t="s">
        <v>102</v>
      </c>
      <c r="B29" s="820" t="s">
        <v>103</v>
      </c>
      <c r="C29" s="169" t="s">
        <v>13</v>
      </c>
      <c r="D29" s="168">
        <f>SUM(E29:Q29)</f>
        <v>0</v>
      </c>
      <c r="E29" s="172">
        <v>0</v>
      </c>
      <c r="F29" s="172">
        <v>0</v>
      </c>
      <c r="G29" s="181">
        <v>0</v>
      </c>
      <c r="H29" s="172">
        <v>0</v>
      </c>
      <c r="I29" s="183">
        <v>0</v>
      </c>
      <c r="J29" s="172">
        <v>0</v>
      </c>
      <c r="K29" s="183">
        <v>0</v>
      </c>
      <c r="L29" s="172">
        <v>0</v>
      </c>
      <c r="M29" s="172">
        <v>0</v>
      </c>
      <c r="N29" s="172">
        <v>0</v>
      </c>
      <c r="O29" s="172">
        <v>0</v>
      </c>
      <c r="P29" s="181">
        <v>0</v>
      </c>
      <c r="Q29" s="172">
        <v>0</v>
      </c>
      <c r="T29" s="160"/>
    </row>
    <row r="30" spans="1:20" s="159" customFormat="1" ht="18" hidden="1" customHeight="1">
      <c r="A30" s="818"/>
      <c r="B30" s="821"/>
      <c r="C30" s="169" t="s">
        <v>14</v>
      </c>
      <c r="D30" s="168">
        <f>SUM(E30:Q30)</f>
        <v>0</v>
      </c>
      <c r="E30" s="166">
        <v>0</v>
      </c>
      <c r="F30" s="166">
        <v>0</v>
      </c>
      <c r="G30" s="179">
        <v>0</v>
      </c>
      <c r="H30" s="166">
        <v>0</v>
      </c>
      <c r="I30" s="179">
        <v>0</v>
      </c>
      <c r="J30" s="166">
        <v>0</v>
      </c>
      <c r="K30" s="180">
        <v>0</v>
      </c>
      <c r="L30" s="167">
        <v>0</v>
      </c>
      <c r="M30" s="167">
        <v>0</v>
      </c>
      <c r="N30" s="166">
        <v>0</v>
      </c>
      <c r="O30" s="166">
        <v>0</v>
      </c>
      <c r="P30" s="179">
        <v>0</v>
      </c>
      <c r="Q30" s="166">
        <v>0</v>
      </c>
      <c r="T30" s="160"/>
    </row>
    <row r="31" spans="1:20" s="159" customFormat="1" ht="18" hidden="1" customHeight="1">
      <c r="A31" s="819"/>
      <c r="B31" s="822"/>
      <c r="C31" s="169" t="s">
        <v>15</v>
      </c>
      <c r="D31" s="168">
        <f>SUM(E31:Q31)</f>
        <v>0</v>
      </c>
      <c r="E31" s="166">
        <f t="shared" ref="E31:Q31" si="6">E29+E30</f>
        <v>0</v>
      </c>
      <c r="F31" s="166">
        <f t="shared" si="6"/>
        <v>0</v>
      </c>
      <c r="G31" s="166">
        <f t="shared" si="6"/>
        <v>0</v>
      </c>
      <c r="H31" s="166">
        <f t="shared" si="6"/>
        <v>0</v>
      </c>
      <c r="I31" s="166">
        <f t="shared" si="6"/>
        <v>0</v>
      </c>
      <c r="J31" s="166">
        <f t="shared" si="6"/>
        <v>0</v>
      </c>
      <c r="K31" s="166">
        <f t="shared" si="6"/>
        <v>0</v>
      </c>
      <c r="L31" s="166">
        <f t="shared" si="6"/>
        <v>0</v>
      </c>
      <c r="M31" s="166">
        <f t="shared" si="6"/>
        <v>0</v>
      </c>
      <c r="N31" s="166">
        <f t="shared" si="6"/>
        <v>0</v>
      </c>
      <c r="O31" s="166">
        <f t="shared" si="6"/>
        <v>0</v>
      </c>
      <c r="P31" s="167">
        <f t="shared" si="6"/>
        <v>0</v>
      </c>
      <c r="Q31" s="166">
        <f t="shared" si="6"/>
        <v>0</v>
      </c>
      <c r="T31" s="160"/>
    </row>
    <row r="32" spans="1:20" s="159" customFormat="1" ht="3" hidden="1" customHeight="1">
      <c r="A32" s="186"/>
      <c r="B32" s="185"/>
      <c r="C32" s="185"/>
      <c r="D32" s="212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72"/>
      <c r="T32" s="160"/>
    </row>
    <row r="33" spans="1:20" s="159" customFormat="1" ht="19.5" customHeight="1">
      <c r="A33" s="817" t="s">
        <v>19</v>
      </c>
      <c r="B33" s="820" t="s">
        <v>20</v>
      </c>
      <c r="C33" s="169" t="s">
        <v>13</v>
      </c>
      <c r="D33" s="168">
        <f>SUM(E33:Q33)</f>
        <v>63673274</v>
      </c>
      <c r="E33" s="172">
        <v>0</v>
      </c>
      <c r="F33" s="172">
        <v>8584171</v>
      </c>
      <c r="G33" s="181">
        <v>0</v>
      </c>
      <c r="H33" s="172">
        <v>0</v>
      </c>
      <c r="I33" s="183">
        <v>0</v>
      </c>
      <c r="J33" s="172">
        <v>0</v>
      </c>
      <c r="K33" s="183">
        <v>0</v>
      </c>
      <c r="L33" s="172">
        <v>326745</v>
      </c>
      <c r="M33" s="172">
        <v>0</v>
      </c>
      <c r="N33" s="172">
        <v>35259000</v>
      </c>
      <c r="O33" s="172">
        <v>0</v>
      </c>
      <c r="P33" s="181">
        <v>19503358</v>
      </c>
      <c r="Q33" s="172">
        <v>0</v>
      </c>
      <c r="T33" s="160"/>
    </row>
    <row r="34" spans="1:20" s="159" customFormat="1" ht="19.5" customHeight="1">
      <c r="A34" s="818"/>
      <c r="B34" s="821"/>
      <c r="C34" s="169" t="s">
        <v>14</v>
      </c>
      <c r="D34" s="168">
        <f>SUM(E34:Q34)</f>
        <v>-34158</v>
      </c>
      <c r="E34" s="166">
        <v>0</v>
      </c>
      <c r="F34" s="166">
        <v>0</v>
      </c>
      <c r="G34" s="179">
        <v>0</v>
      </c>
      <c r="H34" s="166">
        <v>0</v>
      </c>
      <c r="I34" s="179">
        <v>0</v>
      </c>
      <c r="J34" s="166">
        <v>0</v>
      </c>
      <c r="K34" s="180">
        <v>0</v>
      </c>
      <c r="L34" s="167">
        <v>-34158</v>
      </c>
      <c r="M34" s="167">
        <v>0</v>
      </c>
      <c r="N34" s="166">
        <v>0</v>
      </c>
      <c r="O34" s="166">
        <v>0</v>
      </c>
      <c r="P34" s="179">
        <v>0</v>
      </c>
      <c r="Q34" s="166">
        <v>0</v>
      </c>
      <c r="T34" s="160"/>
    </row>
    <row r="35" spans="1:20" s="159" customFormat="1" ht="19.5" customHeight="1">
      <c r="A35" s="819"/>
      <c r="B35" s="822"/>
      <c r="C35" s="169" t="s">
        <v>15</v>
      </c>
      <c r="D35" s="168">
        <f>SUM(E35:Q35)</f>
        <v>63639116</v>
      </c>
      <c r="E35" s="166">
        <f t="shared" ref="E35:Q35" si="7">E33+E34</f>
        <v>0</v>
      </c>
      <c r="F35" s="166">
        <f t="shared" si="7"/>
        <v>8584171</v>
      </c>
      <c r="G35" s="166">
        <f t="shared" si="7"/>
        <v>0</v>
      </c>
      <c r="H35" s="166">
        <f t="shared" si="7"/>
        <v>0</v>
      </c>
      <c r="I35" s="166">
        <f t="shared" si="7"/>
        <v>0</v>
      </c>
      <c r="J35" s="166">
        <f t="shared" si="7"/>
        <v>0</v>
      </c>
      <c r="K35" s="166">
        <f t="shared" si="7"/>
        <v>0</v>
      </c>
      <c r="L35" s="166">
        <f t="shared" si="7"/>
        <v>292587</v>
      </c>
      <c r="M35" s="166">
        <f t="shared" si="7"/>
        <v>0</v>
      </c>
      <c r="N35" s="166">
        <f t="shared" si="7"/>
        <v>35259000</v>
      </c>
      <c r="O35" s="166">
        <f t="shared" si="7"/>
        <v>0</v>
      </c>
      <c r="P35" s="167">
        <f t="shared" si="7"/>
        <v>19503358</v>
      </c>
      <c r="Q35" s="166">
        <f t="shared" si="7"/>
        <v>0</v>
      </c>
      <c r="T35" s="160"/>
    </row>
    <row r="36" spans="1:20" s="159" customFormat="1" ht="5.0999999999999996" customHeight="1">
      <c r="A36" s="206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11"/>
      <c r="Q36" s="210"/>
      <c r="T36" s="160"/>
    </row>
    <row r="37" spans="1:20" s="144" customFormat="1" ht="20.25" customHeight="1">
      <c r="A37" s="817" t="s">
        <v>67</v>
      </c>
      <c r="B37" s="820" t="s">
        <v>68</v>
      </c>
      <c r="C37" s="169" t="s">
        <v>13</v>
      </c>
      <c r="D37" s="168">
        <f>SUM(E37:Q37)</f>
        <v>926584</v>
      </c>
      <c r="E37" s="172">
        <v>0</v>
      </c>
      <c r="F37" s="172">
        <v>450</v>
      </c>
      <c r="G37" s="181">
        <v>0</v>
      </c>
      <c r="H37" s="172">
        <v>0</v>
      </c>
      <c r="I37" s="183">
        <v>0</v>
      </c>
      <c r="J37" s="172">
        <v>0</v>
      </c>
      <c r="K37" s="183">
        <v>0</v>
      </c>
      <c r="L37" s="172">
        <v>737134</v>
      </c>
      <c r="M37" s="172">
        <v>0</v>
      </c>
      <c r="N37" s="172">
        <v>189000</v>
      </c>
      <c r="O37" s="172">
        <v>0</v>
      </c>
      <c r="P37" s="181">
        <v>0</v>
      </c>
      <c r="Q37" s="172">
        <v>0</v>
      </c>
      <c r="T37" s="187"/>
    </row>
    <row r="38" spans="1:20" s="144" customFormat="1" ht="20.25" customHeight="1">
      <c r="A38" s="818"/>
      <c r="B38" s="821"/>
      <c r="C38" s="169" t="s">
        <v>14</v>
      </c>
      <c r="D38" s="168">
        <f>SUM(E38:Q38)</f>
        <v>-322131</v>
      </c>
      <c r="E38" s="166">
        <v>0</v>
      </c>
      <c r="F38" s="166">
        <v>0</v>
      </c>
      <c r="G38" s="179">
        <v>0</v>
      </c>
      <c r="H38" s="166">
        <v>0</v>
      </c>
      <c r="I38" s="179">
        <v>0</v>
      </c>
      <c r="J38" s="166">
        <v>0</v>
      </c>
      <c r="K38" s="180">
        <v>0</v>
      </c>
      <c r="L38" s="167">
        <v>-322131</v>
      </c>
      <c r="M38" s="167">
        <v>0</v>
      </c>
      <c r="N38" s="166">
        <v>0</v>
      </c>
      <c r="O38" s="166">
        <v>0</v>
      </c>
      <c r="P38" s="179">
        <v>0</v>
      </c>
      <c r="Q38" s="166">
        <v>0</v>
      </c>
      <c r="T38" s="187"/>
    </row>
    <row r="39" spans="1:20" s="144" customFormat="1" ht="20.25" customHeight="1">
      <c r="A39" s="819"/>
      <c r="B39" s="822"/>
      <c r="C39" s="169" t="s">
        <v>15</v>
      </c>
      <c r="D39" s="168">
        <f>SUM(E39:Q39)</f>
        <v>604453</v>
      </c>
      <c r="E39" s="166">
        <f t="shared" ref="E39:Q39" si="8">E37+E38</f>
        <v>0</v>
      </c>
      <c r="F39" s="166">
        <f t="shared" si="8"/>
        <v>450</v>
      </c>
      <c r="G39" s="166">
        <f t="shared" si="8"/>
        <v>0</v>
      </c>
      <c r="H39" s="166">
        <f t="shared" si="8"/>
        <v>0</v>
      </c>
      <c r="I39" s="166">
        <f t="shared" si="8"/>
        <v>0</v>
      </c>
      <c r="J39" s="166">
        <f t="shared" si="8"/>
        <v>0</v>
      </c>
      <c r="K39" s="166">
        <f t="shared" si="8"/>
        <v>0</v>
      </c>
      <c r="L39" s="166">
        <f t="shared" si="8"/>
        <v>415003</v>
      </c>
      <c r="M39" s="166">
        <f t="shared" si="8"/>
        <v>0</v>
      </c>
      <c r="N39" s="166">
        <f t="shared" si="8"/>
        <v>189000</v>
      </c>
      <c r="O39" s="166">
        <f t="shared" si="8"/>
        <v>0</v>
      </c>
      <c r="P39" s="167">
        <f t="shared" si="8"/>
        <v>0</v>
      </c>
      <c r="Q39" s="166">
        <f t="shared" si="8"/>
        <v>0</v>
      </c>
      <c r="T39" s="187"/>
    </row>
    <row r="40" spans="1:20" s="159" customFormat="1" ht="5.0999999999999996" customHeight="1">
      <c r="A40" s="165"/>
      <c r="B40" s="209"/>
      <c r="C40" s="208"/>
      <c r="D40" s="204"/>
      <c r="E40" s="208"/>
      <c r="F40" s="208"/>
      <c r="G40" s="208"/>
      <c r="H40" s="208"/>
      <c r="I40" s="208"/>
      <c r="J40" s="208"/>
      <c r="K40" s="208"/>
      <c r="L40" s="208"/>
      <c r="M40" s="204"/>
      <c r="N40" s="208"/>
      <c r="O40" s="208"/>
      <c r="P40" s="208"/>
      <c r="Q40" s="207"/>
      <c r="T40" s="160"/>
    </row>
    <row r="41" spans="1:20" s="144" customFormat="1" ht="20.25" hidden="1" customHeight="1">
      <c r="A41" s="817" t="s">
        <v>22</v>
      </c>
      <c r="B41" s="820" t="s">
        <v>23</v>
      </c>
      <c r="C41" s="169" t="s">
        <v>13</v>
      </c>
      <c r="D41" s="168">
        <f>SUM(E41:Q41)</f>
        <v>900000</v>
      </c>
      <c r="E41" s="172">
        <v>0</v>
      </c>
      <c r="F41" s="172">
        <v>900000</v>
      </c>
      <c r="G41" s="181">
        <v>0</v>
      </c>
      <c r="H41" s="172">
        <v>0</v>
      </c>
      <c r="I41" s="183">
        <v>0</v>
      </c>
      <c r="J41" s="172">
        <v>0</v>
      </c>
      <c r="K41" s="183">
        <v>0</v>
      </c>
      <c r="L41" s="172">
        <v>0</v>
      </c>
      <c r="M41" s="172">
        <v>0</v>
      </c>
      <c r="N41" s="172">
        <v>0</v>
      </c>
      <c r="O41" s="172">
        <v>0</v>
      </c>
      <c r="P41" s="181">
        <v>0</v>
      </c>
      <c r="Q41" s="172">
        <v>0</v>
      </c>
      <c r="T41" s="187"/>
    </row>
    <row r="42" spans="1:20" s="144" customFormat="1" ht="20.25" hidden="1" customHeight="1">
      <c r="A42" s="818"/>
      <c r="B42" s="821"/>
      <c r="C42" s="169" t="s">
        <v>14</v>
      </c>
      <c r="D42" s="168">
        <f>SUM(E42:Q42)</f>
        <v>0</v>
      </c>
      <c r="E42" s="166">
        <v>0</v>
      </c>
      <c r="F42" s="166">
        <v>0</v>
      </c>
      <c r="G42" s="179">
        <v>0</v>
      </c>
      <c r="H42" s="166">
        <v>0</v>
      </c>
      <c r="I42" s="179">
        <v>0</v>
      </c>
      <c r="J42" s="166">
        <v>0</v>
      </c>
      <c r="K42" s="180">
        <v>0</v>
      </c>
      <c r="L42" s="167">
        <v>0</v>
      </c>
      <c r="M42" s="167">
        <v>0</v>
      </c>
      <c r="N42" s="166">
        <v>0</v>
      </c>
      <c r="O42" s="166">
        <v>0</v>
      </c>
      <c r="P42" s="179">
        <v>0</v>
      </c>
      <c r="Q42" s="166">
        <v>0</v>
      </c>
      <c r="T42" s="187"/>
    </row>
    <row r="43" spans="1:20" s="144" customFormat="1" ht="20.25" hidden="1" customHeight="1">
      <c r="A43" s="819"/>
      <c r="B43" s="822"/>
      <c r="C43" s="169" t="s">
        <v>15</v>
      </c>
      <c r="D43" s="168">
        <f>SUM(E43:Q43)</f>
        <v>900000</v>
      </c>
      <c r="E43" s="166">
        <f t="shared" ref="E43:Q43" si="9">E41+E42</f>
        <v>0</v>
      </c>
      <c r="F43" s="166">
        <f t="shared" si="9"/>
        <v>900000</v>
      </c>
      <c r="G43" s="166">
        <f t="shared" si="9"/>
        <v>0</v>
      </c>
      <c r="H43" s="166">
        <f t="shared" si="9"/>
        <v>0</v>
      </c>
      <c r="I43" s="166">
        <f t="shared" si="9"/>
        <v>0</v>
      </c>
      <c r="J43" s="166">
        <f t="shared" si="9"/>
        <v>0</v>
      </c>
      <c r="K43" s="166">
        <f t="shared" si="9"/>
        <v>0</v>
      </c>
      <c r="L43" s="166">
        <f t="shared" si="9"/>
        <v>0</v>
      </c>
      <c r="M43" s="166">
        <f t="shared" si="9"/>
        <v>0</v>
      </c>
      <c r="N43" s="166">
        <f t="shared" si="9"/>
        <v>0</v>
      </c>
      <c r="O43" s="166">
        <f t="shared" si="9"/>
        <v>0</v>
      </c>
      <c r="P43" s="167">
        <f t="shared" si="9"/>
        <v>0</v>
      </c>
      <c r="Q43" s="166">
        <f t="shared" si="9"/>
        <v>0</v>
      </c>
      <c r="T43" s="187"/>
    </row>
    <row r="44" spans="1:20" s="144" customFormat="1" ht="20.25" hidden="1" customHeight="1">
      <c r="A44" s="206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5"/>
      <c r="T44" s="187"/>
    </row>
    <row r="45" spans="1:20" s="144" customFormat="1" ht="20.25" hidden="1" customHeight="1">
      <c r="A45" s="817" t="s">
        <v>25</v>
      </c>
      <c r="B45" s="820" t="s">
        <v>26</v>
      </c>
      <c r="C45" s="169" t="s">
        <v>13</v>
      </c>
      <c r="D45" s="168">
        <f>SUM(E45:Q45)</f>
        <v>384950</v>
      </c>
      <c r="E45" s="172">
        <v>0</v>
      </c>
      <c r="F45" s="172">
        <v>15950</v>
      </c>
      <c r="G45" s="181">
        <v>0</v>
      </c>
      <c r="H45" s="172">
        <v>0</v>
      </c>
      <c r="I45" s="183">
        <v>0</v>
      </c>
      <c r="J45" s="172">
        <v>0</v>
      </c>
      <c r="K45" s="183">
        <v>0</v>
      </c>
      <c r="L45" s="172">
        <v>0</v>
      </c>
      <c r="M45" s="172">
        <v>0</v>
      </c>
      <c r="N45" s="172">
        <v>369000</v>
      </c>
      <c r="O45" s="172">
        <v>0</v>
      </c>
      <c r="P45" s="181">
        <v>0</v>
      </c>
      <c r="Q45" s="172">
        <v>0</v>
      </c>
      <c r="T45" s="187"/>
    </row>
    <row r="46" spans="1:20" s="144" customFormat="1" ht="20.25" hidden="1" customHeight="1">
      <c r="A46" s="818"/>
      <c r="B46" s="821"/>
      <c r="C46" s="169" t="s">
        <v>14</v>
      </c>
      <c r="D46" s="168">
        <f>SUM(E46:Q46)</f>
        <v>0</v>
      </c>
      <c r="E46" s="166">
        <v>0</v>
      </c>
      <c r="F46" s="166">
        <v>0</v>
      </c>
      <c r="G46" s="179">
        <v>0</v>
      </c>
      <c r="H46" s="166">
        <v>0</v>
      </c>
      <c r="I46" s="179">
        <v>0</v>
      </c>
      <c r="J46" s="166">
        <v>0</v>
      </c>
      <c r="K46" s="180">
        <v>0</v>
      </c>
      <c r="L46" s="167">
        <v>0</v>
      </c>
      <c r="M46" s="167">
        <v>0</v>
      </c>
      <c r="N46" s="166">
        <v>0</v>
      </c>
      <c r="O46" s="166">
        <v>0</v>
      </c>
      <c r="P46" s="179">
        <v>0</v>
      </c>
      <c r="Q46" s="166">
        <v>0</v>
      </c>
      <c r="T46" s="187"/>
    </row>
    <row r="47" spans="1:20" s="144" customFormat="1" ht="20.25" hidden="1" customHeight="1">
      <c r="A47" s="819"/>
      <c r="B47" s="822"/>
      <c r="C47" s="169" t="s">
        <v>15</v>
      </c>
      <c r="D47" s="168">
        <f>SUM(E47:Q47)</f>
        <v>384950</v>
      </c>
      <c r="E47" s="166">
        <f t="shared" ref="E47:Q47" si="10">E45+E46</f>
        <v>0</v>
      </c>
      <c r="F47" s="166">
        <f t="shared" si="10"/>
        <v>15950</v>
      </c>
      <c r="G47" s="166">
        <f t="shared" si="10"/>
        <v>0</v>
      </c>
      <c r="H47" s="166">
        <f t="shared" si="10"/>
        <v>0</v>
      </c>
      <c r="I47" s="166">
        <f t="shared" si="10"/>
        <v>0</v>
      </c>
      <c r="J47" s="166">
        <f t="shared" si="10"/>
        <v>0</v>
      </c>
      <c r="K47" s="166">
        <f t="shared" si="10"/>
        <v>0</v>
      </c>
      <c r="L47" s="166">
        <f t="shared" si="10"/>
        <v>0</v>
      </c>
      <c r="M47" s="166">
        <f t="shared" si="10"/>
        <v>0</v>
      </c>
      <c r="N47" s="166">
        <f t="shared" si="10"/>
        <v>369000</v>
      </c>
      <c r="O47" s="166">
        <f t="shared" si="10"/>
        <v>0</v>
      </c>
      <c r="P47" s="167">
        <f t="shared" si="10"/>
        <v>0</v>
      </c>
      <c r="Q47" s="166">
        <f t="shared" si="10"/>
        <v>0</v>
      </c>
      <c r="T47" s="187"/>
    </row>
    <row r="48" spans="1:20" s="144" customFormat="1" ht="20.25" hidden="1" customHeight="1">
      <c r="A48" s="206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5"/>
      <c r="T48" s="187"/>
    </row>
    <row r="49" spans="1:20" s="144" customFormat="1" ht="18.75" hidden="1" customHeight="1">
      <c r="A49" s="817" t="s">
        <v>69</v>
      </c>
      <c r="B49" s="820" t="s">
        <v>70</v>
      </c>
      <c r="C49" s="169" t="s">
        <v>13</v>
      </c>
      <c r="D49" s="168">
        <f>SUM(E49:Q49)</f>
        <v>58000</v>
      </c>
      <c r="E49" s="172">
        <v>0</v>
      </c>
      <c r="F49" s="172">
        <v>0</v>
      </c>
      <c r="G49" s="181">
        <v>0</v>
      </c>
      <c r="H49" s="172">
        <v>0</v>
      </c>
      <c r="I49" s="183">
        <v>0</v>
      </c>
      <c r="J49" s="172">
        <v>57555</v>
      </c>
      <c r="K49" s="183">
        <v>0</v>
      </c>
      <c r="L49" s="172">
        <v>0</v>
      </c>
      <c r="M49" s="172">
        <v>445</v>
      </c>
      <c r="N49" s="172">
        <v>0</v>
      </c>
      <c r="O49" s="172">
        <v>0</v>
      </c>
      <c r="P49" s="181">
        <v>0</v>
      </c>
      <c r="Q49" s="172">
        <v>0</v>
      </c>
      <c r="T49" s="187"/>
    </row>
    <row r="50" spans="1:20" s="144" customFormat="1" ht="18.75" hidden="1" customHeight="1">
      <c r="A50" s="818"/>
      <c r="B50" s="821"/>
      <c r="C50" s="169" t="s">
        <v>14</v>
      </c>
      <c r="D50" s="168">
        <f>SUM(E50:Q50)</f>
        <v>0</v>
      </c>
      <c r="E50" s="166">
        <v>0</v>
      </c>
      <c r="F50" s="166">
        <v>0</v>
      </c>
      <c r="G50" s="179">
        <v>0</v>
      </c>
      <c r="H50" s="166">
        <v>0</v>
      </c>
      <c r="I50" s="179">
        <v>0</v>
      </c>
      <c r="J50" s="166">
        <v>0</v>
      </c>
      <c r="K50" s="180">
        <v>0</v>
      </c>
      <c r="L50" s="167">
        <v>0</v>
      </c>
      <c r="M50" s="167">
        <v>0</v>
      </c>
      <c r="N50" s="166">
        <v>0</v>
      </c>
      <c r="O50" s="166">
        <v>0</v>
      </c>
      <c r="P50" s="179">
        <v>0</v>
      </c>
      <c r="Q50" s="166">
        <v>0</v>
      </c>
      <c r="T50" s="187"/>
    </row>
    <row r="51" spans="1:20" s="144" customFormat="1" ht="18.75" hidden="1" customHeight="1">
      <c r="A51" s="819"/>
      <c r="B51" s="822"/>
      <c r="C51" s="169" t="s">
        <v>15</v>
      </c>
      <c r="D51" s="168">
        <f>SUM(E51:Q51)</f>
        <v>58000</v>
      </c>
      <c r="E51" s="166">
        <f t="shared" ref="E51:Q51" si="11">E49+E50</f>
        <v>0</v>
      </c>
      <c r="F51" s="166">
        <f t="shared" si="11"/>
        <v>0</v>
      </c>
      <c r="G51" s="166">
        <f t="shared" si="11"/>
        <v>0</v>
      </c>
      <c r="H51" s="166">
        <f t="shared" si="11"/>
        <v>0</v>
      </c>
      <c r="I51" s="166">
        <f t="shared" si="11"/>
        <v>0</v>
      </c>
      <c r="J51" s="166">
        <f t="shared" si="11"/>
        <v>57555</v>
      </c>
      <c r="K51" s="166">
        <f t="shared" si="11"/>
        <v>0</v>
      </c>
      <c r="L51" s="166">
        <f t="shared" si="11"/>
        <v>0</v>
      </c>
      <c r="M51" s="166">
        <f t="shared" si="11"/>
        <v>445</v>
      </c>
      <c r="N51" s="166">
        <f t="shared" si="11"/>
        <v>0</v>
      </c>
      <c r="O51" s="166">
        <f t="shared" si="11"/>
        <v>0</v>
      </c>
      <c r="P51" s="167">
        <f t="shared" si="11"/>
        <v>0</v>
      </c>
      <c r="Q51" s="166">
        <f t="shared" si="11"/>
        <v>0</v>
      </c>
      <c r="T51" s="187"/>
    </row>
    <row r="52" spans="1:20" s="144" customFormat="1" ht="7.5" hidden="1" customHeight="1">
      <c r="A52" s="186"/>
      <c r="B52" s="185"/>
      <c r="C52" s="185"/>
      <c r="D52" s="204"/>
      <c r="E52" s="181"/>
      <c r="F52" s="181"/>
      <c r="G52" s="181"/>
      <c r="H52" s="181"/>
      <c r="I52" s="181"/>
      <c r="J52" s="181"/>
      <c r="K52" s="181"/>
      <c r="L52" s="181"/>
      <c r="M52" s="204"/>
      <c r="N52" s="181"/>
      <c r="O52" s="181"/>
      <c r="P52" s="181"/>
      <c r="Q52" s="172"/>
      <c r="T52" s="187"/>
    </row>
    <row r="53" spans="1:20" s="159" customFormat="1" ht="19.5" customHeight="1">
      <c r="A53" s="817" t="s">
        <v>28</v>
      </c>
      <c r="B53" s="820" t="s">
        <v>29</v>
      </c>
      <c r="C53" s="169" t="s">
        <v>13</v>
      </c>
      <c r="D53" s="168">
        <f>SUM(E53:Q53)</f>
        <v>3364844</v>
      </c>
      <c r="E53" s="172">
        <v>0</v>
      </c>
      <c r="F53" s="172">
        <v>141300</v>
      </c>
      <c r="G53" s="182">
        <v>142594</v>
      </c>
      <c r="H53" s="172">
        <v>1593325</v>
      </c>
      <c r="I53" s="183">
        <v>290849</v>
      </c>
      <c r="J53" s="172">
        <v>909776</v>
      </c>
      <c r="K53" s="183">
        <v>0</v>
      </c>
      <c r="L53" s="172">
        <v>0</v>
      </c>
      <c r="M53" s="172">
        <v>0</v>
      </c>
      <c r="N53" s="172">
        <v>287000</v>
      </c>
      <c r="O53" s="172">
        <v>0</v>
      </c>
      <c r="P53" s="181">
        <v>0</v>
      </c>
      <c r="Q53" s="172">
        <v>0</v>
      </c>
      <c r="T53" s="160"/>
    </row>
    <row r="54" spans="1:20" s="159" customFormat="1" ht="19.5" customHeight="1">
      <c r="A54" s="818"/>
      <c r="B54" s="821"/>
      <c r="C54" s="169" t="s">
        <v>14</v>
      </c>
      <c r="D54" s="168">
        <f>SUM(E54:Q54)</f>
        <v>183921</v>
      </c>
      <c r="E54" s="166">
        <v>0</v>
      </c>
      <c r="F54" s="166">
        <v>0</v>
      </c>
      <c r="G54" s="179">
        <v>0</v>
      </c>
      <c r="H54" s="166">
        <v>0</v>
      </c>
      <c r="I54" s="179">
        <v>0</v>
      </c>
      <c r="J54" s="166">
        <v>183921</v>
      </c>
      <c r="K54" s="180">
        <v>0</v>
      </c>
      <c r="L54" s="167">
        <v>0</v>
      </c>
      <c r="M54" s="167">
        <v>0</v>
      </c>
      <c r="N54" s="166">
        <v>0</v>
      </c>
      <c r="O54" s="166">
        <v>0</v>
      </c>
      <c r="P54" s="179">
        <v>0</v>
      </c>
      <c r="Q54" s="166">
        <v>0</v>
      </c>
      <c r="T54" s="160"/>
    </row>
    <row r="55" spans="1:20" s="159" customFormat="1" ht="19.5" customHeight="1">
      <c r="A55" s="819"/>
      <c r="B55" s="822"/>
      <c r="C55" s="169" t="s">
        <v>15</v>
      </c>
      <c r="D55" s="168">
        <f>SUM(E55:Q55)</f>
        <v>3548765</v>
      </c>
      <c r="E55" s="166">
        <f t="shared" ref="E55:Q55" si="12">E53+E54</f>
        <v>0</v>
      </c>
      <c r="F55" s="166">
        <f t="shared" si="12"/>
        <v>141300</v>
      </c>
      <c r="G55" s="166">
        <f t="shared" si="12"/>
        <v>142594</v>
      </c>
      <c r="H55" s="166">
        <f t="shared" si="12"/>
        <v>1593325</v>
      </c>
      <c r="I55" s="166">
        <f t="shared" si="12"/>
        <v>290849</v>
      </c>
      <c r="J55" s="166">
        <f t="shared" si="12"/>
        <v>1093697</v>
      </c>
      <c r="K55" s="166">
        <f t="shared" si="12"/>
        <v>0</v>
      </c>
      <c r="L55" s="166">
        <f t="shared" si="12"/>
        <v>0</v>
      </c>
      <c r="M55" s="166">
        <f t="shared" si="12"/>
        <v>0</v>
      </c>
      <c r="N55" s="166">
        <f t="shared" si="12"/>
        <v>287000</v>
      </c>
      <c r="O55" s="166">
        <f t="shared" si="12"/>
        <v>0</v>
      </c>
      <c r="P55" s="167">
        <f t="shared" si="12"/>
        <v>0</v>
      </c>
      <c r="Q55" s="166">
        <f t="shared" si="12"/>
        <v>0</v>
      </c>
      <c r="T55" s="160"/>
    </row>
    <row r="56" spans="1:20" s="159" customFormat="1" ht="5.0999999999999996" customHeight="1">
      <c r="A56" s="186"/>
      <c r="B56" s="185"/>
      <c r="C56" s="185"/>
      <c r="D56" s="204"/>
      <c r="E56" s="181"/>
      <c r="F56" s="181"/>
      <c r="G56" s="181"/>
      <c r="H56" s="181"/>
      <c r="I56" s="181"/>
      <c r="J56" s="181"/>
      <c r="K56" s="181"/>
      <c r="L56" s="181"/>
      <c r="M56" s="204"/>
      <c r="N56" s="181"/>
      <c r="O56" s="181"/>
      <c r="P56" s="181"/>
      <c r="Q56" s="172"/>
      <c r="T56" s="160"/>
    </row>
    <row r="57" spans="1:20" s="159" customFormat="1" ht="20.25" hidden="1" customHeight="1">
      <c r="A57" s="817" t="s">
        <v>56</v>
      </c>
      <c r="B57" s="820" t="s">
        <v>57</v>
      </c>
      <c r="C57" s="169" t="s">
        <v>13</v>
      </c>
      <c r="D57" s="168">
        <f>SUM(E57:Q57)</f>
        <v>5000</v>
      </c>
      <c r="E57" s="172">
        <v>0</v>
      </c>
      <c r="F57" s="172">
        <v>0</v>
      </c>
      <c r="G57" s="182">
        <v>0</v>
      </c>
      <c r="H57" s="172">
        <v>0</v>
      </c>
      <c r="I57" s="183">
        <v>0</v>
      </c>
      <c r="J57" s="172">
        <v>0</v>
      </c>
      <c r="K57" s="183">
        <v>0</v>
      </c>
      <c r="L57" s="172">
        <v>0</v>
      </c>
      <c r="M57" s="172">
        <v>0</v>
      </c>
      <c r="N57" s="172">
        <v>5000</v>
      </c>
      <c r="O57" s="172">
        <v>0</v>
      </c>
      <c r="P57" s="181">
        <v>0</v>
      </c>
      <c r="Q57" s="172">
        <v>0</v>
      </c>
      <c r="T57" s="160"/>
    </row>
    <row r="58" spans="1:20" s="159" customFormat="1" ht="20.25" hidden="1" customHeight="1">
      <c r="A58" s="818"/>
      <c r="B58" s="821"/>
      <c r="C58" s="169" t="s">
        <v>14</v>
      </c>
      <c r="D58" s="168">
        <f>SUM(E58:Q58)</f>
        <v>0</v>
      </c>
      <c r="E58" s="166">
        <v>0</v>
      </c>
      <c r="F58" s="166">
        <v>0</v>
      </c>
      <c r="G58" s="179">
        <v>0</v>
      </c>
      <c r="H58" s="166">
        <v>0</v>
      </c>
      <c r="I58" s="179">
        <v>0</v>
      </c>
      <c r="J58" s="166">
        <v>0</v>
      </c>
      <c r="K58" s="180">
        <v>0</v>
      </c>
      <c r="L58" s="167">
        <v>0</v>
      </c>
      <c r="M58" s="167">
        <v>0</v>
      </c>
      <c r="N58" s="166">
        <v>0</v>
      </c>
      <c r="O58" s="166">
        <v>0</v>
      </c>
      <c r="P58" s="179">
        <v>0</v>
      </c>
      <c r="Q58" s="166">
        <v>0</v>
      </c>
      <c r="T58" s="160"/>
    </row>
    <row r="59" spans="1:20" s="159" customFormat="1" ht="20.25" hidden="1" customHeight="1">
      <c r="A59" s="819"/>
      <c r="B59" s="822"/>
      <c r="C59" s="169" t="s">
        <v>15</v>
      </c>
      <c r="D59" s="168">
        <f>SUM(E59:Q59)</f>
        <v>5000</v>
      </c>
      <c r="E59" s="166">
        <f t="shared" ref="E59:Q59" si="13">E57+E58</f>
        <v>0</v>
      </c>
      <c r="F59" s="166">
        <f t="shared" si="13"/>
        <v>0</v>
      </c>
      <c r="G59" s="166">
        <f t="shared" si="13"/>
        <v>0</v>
      </c>
      <c r="H59" s="166">
        <f t="shared" si="13"/>
        <v>0</v>
      </c>
      <c r="I59" s="166">
        <f t="shared" si="13"/>
        <v>0</v>
      </c>
      <c r="J59" s="166">
        <f t="shared" si="13"/>
        <v>0</v>
      </c>
      <c r="K59" s="166">
        <f t="shared" si="13"/>
        <v>0</v>
      </c>
      <c r="L59" s="166">
        <f t="shared" si="13"/>
        <v>0</v>
      </c>
      <c r="M59" s="166">
        <f t="shared" si="13"/>
        <v>0</v>
      </c>
      <c r="N59" s="166">
        <f t="shared" si="13"/>
        <v>5000</v>
      </c>
      <c r="O59" s="166">
        <f t="shared" si="13"/>
        <v>0</v>
      </c>
      <c r="P59" s="167">
        <f t="shared" si="13"/>
        <v>0</v>
      </c>
      <c r="Q59" s="166">
        <f t="shared" si="13"/>
        <v>0</v>
      </c>
      <c r="T59" s="160"/>
    </row>
    <row r="60" spans="1:20" s="159" customFormat="1" ht="5.25" hidden="1" customHeight="1">
      <c r="A60" s="186"/>
      <c r="B60" s="185"/>
      <c r="C60" s="185"/>
      <c r="D60" s="204"/>
      <c r="E60" s="181"/>
      <c r="F60" s="181"/>
      <c r="G60" s="181"/>
      <c r="H60" s="181"/>
      <c r="I60" s="181"/>
      <c r="J60" s="181"/>
      <c r="K60" s="181"/>
      <c r="L60" s="181"/>
      <c r="M60" s="204"/>
      <c r="N60" s="181"/>
      <c r="O60" s="181"/>
      <c r="P60" s="181"/>
      <c r="Q60" s="172"/>
      <c r="T60" s="160"/>
    </row>
    <row r="61" spans="1:20" s="159" customFormat="1" ht="27" customHeight="1">
      <c r="A61" s="817" t="s">
        <v>438</v>
      </c>
      <c r="B61" s="820" t="s">
        <v>437</v>
      </c>
      <c r="C61" s="169" t="s">
        <v>13</v>
      </c>
      <c r="D61" s="168">
        <f>SUM(E61:Q61)</f>
        <v>276346827</v>
      </c>
      <c r="E61" s="172">
        <v>275426127</v>
      </c>
      <c r="F61" s="172">
        <v>920700</v>
      </c>
      <c r="G61" s="181">
        <v>0</v>
      </c>
      <c r="H61" s="172">
        <v>0</v>
      </c>
      <c r="I61" s="183">
        <v>0</v>
      </c>
      <c r="J61" s="172">
        <v>0</v>
      </c>
      <c r="K61" s="183">
        <v>0</v>
      </c>
      <c r="L61" s="172">
        <v>0</v>
      </c>
      <c r="M61" s="172">
        <v>0</v>
      </c>
      <c r="N61" s="172">
        <v>0</v>
      </c>
      <c r="O61" s="172">
        <v>0</v>
      </c>
      <c r="P61" s="181">
        <v>0</v>
      </c>
      <c r="Q61" s="172">
        <v>0</v>
      </c>
      <c r="T61" s="160"/>
    </row>
    <row r="62" spans="1:20" s="159" customFormat="1" ht="27" customHeight="1">
      <c r="A62" s="818"/>
      <c r="B62" s="821"/>
      <c r="C62" s="169" t="s">
        <v>14</v>
      </c>
      <c r="D62" s="168">
        <f>SUM(E62:Q62)</f>
        <v>4800000</v>
      </c>
      <c r="E62" s="166">
        <v>4800000</v>
      </c>
      <c r="F62" s="166">
        <v>0</v>
      </c>
      <c r="G62" s="179">
        <v>0</v>
      </c>
      <c r="H62" s="166">
        <v>0</v>
      </c>
      <c r="I62" s="179">
        <v>0</v>
      </c>
      <c r="J62" s="166">
        <v>0</v>
      </c>
      <c r="K62" s="180">
        <v>0</v>
      </c>
      <c r="L62" s="167">
        <v>0</v>
      </c>
      <c r="M62" s="167">
        <v>0</v>
      </c>
      <c r="N62" s="166">
        <v>0</v>
      </c>
      <c r="O62" s="166">
        <v>0</v>
      </c>
      <c r="P62" s="179">
        <v>0</v>
      </c>
      <c r="Q62" s="166">
        <v>0</v>
      </c>
      <c r="T62" s="160"/>
    </row>
    <row r="63" spans="1:20" s="159" customFormat="1" ht="27" customHeight="1">
      <c r="A63" s="819"/>
      <c r="B63" s="822"/>
      <c r="C63" s="169" t="s">
        <v>15</v>
      </c>
      <c r="D63" s="168">
        <f>SUM(E63:Q63)</f>
        <v>281146827</v>
      </c>
      <c r="E63" s="166">
        <f t="shared" ref="E63:Q63" si="14">E61+E62</f>
        <v>280226127</v>
      </c>
      <c r="F63" s="166">
        <f t="shared" si="14"/>
        <v>920700</v>
      </c>
      <c r="G63" s="166">
        <f t="shared" si="14"/>
        <v>0</v>
      </c>
      <c r="H63" s="166">
        <f t="shared" si="14"/>
        <v>0</v>
      </c>
      <c r="I63" s="166">
        <f t="shared" si="14"/>
        <v>0</v>
      </c>
      <c r="J63" s="166">
        <f t="shared" si="14"/>
        <v>0</v>
      </c>
      <c r="K63" s="166">
        <f t="shared" si="14"/>
        <v>0</v>
      </c>
      <c r="L63" s="166">
        <f t="shared" si="14"/>
        <v>0</v>
      </c>
      <c r="M63" s="166">
        <f t="shared" si="14"/>
        <v>0</v>
      </c>
      <c r="N63" s="166">
        <f t="shared" si="14"/>
        <v>0</v>
      </c>
      <c r="O63" s="166">
        <f t="shared" si="14"/>
        <v>0</v>
      </c>
      <c r="P63" s="167">
        <f t="shared" si="14"/>
        <v>0</v>
      </c>
      <c r="Q63" s="166">
        <f t="shared" si="14"/>
        <v>0</v>
      </c>
      <c r="T63" s="160"/>
    </row>
    <row r="64" spans="1:20" s="159" customFormat="1" ht="5.0999999999999996" customHeight="1">
      <c r="A64" s="186"/>
      <c r="B64" s="185"/>
      <c r="C64" s="185"/>
      <c r="D64" s="204"/>
      <c r="E64" s="181"/>
      <c r="F64" s="181"/>
      <c r="G64" s="181"/>
      <c r="H64" s="181"/>
      <c r="I64" s="181"/>
      <c r="J64" s="181"/>
      <c r="K64" s="181"/>
      <c r="L64" s="181"/>
      <c r="M64" s="204"/>
      <c r="N64" s="181"/>
      <c r="O64" s="181"/>
      <c r="P64" s="181"/>
      <c r="Q64" s="172"/>
      <c r="T64" s="160"/>
    </row>
    <row r="65" spans="1:20" s="159" customFormat="1" ht="21" customHeight="1">
      <c r="A65" s="817" t="s">
        <v>134</v>
      </c>
      <c r="B65" s="820" t="s">
        <v>135</v>
      </c>
      <c r="C65" s="169" t="s">
        <v>13</v>
      </c>
      <c r="D65" s="168">
        <f>SUM(E65:Q65)</f>
        <v>490416134</v>
      </c>
      <c r="E65" s="172">
        <v>300405260</v>
      </c>
      <c r="F65" s="172">
        <v>0</v>
      </c>
      <c r="G65" s="182">
        <v>112805086</v>
      </c>
      <c r="H65" s="172">
        <v>53948000</v>
      </c>
      <c r="I65" s="183">
        <v>23257788</v>
      </c>
      <c r="J65" s="172">
        <v>0</v>
      </c>
      <c r="K65" s="172">
        <v>0</v>
      </c>
      <c r="L65" s="172">
        <v>0</v>
      </c>
      <c r="M65" s="172">
        <v>0</v>
      </c>
      <c r="N65" s="172">
        <v>0</v>
      </c>
      <c r="O65" s="172">
        <v>0</v>
      </c>
      <c r="P65" s="182">
        <v>0</v>
      </c>
      <c r="Q65" s="172">
        <v>0</v>
      </c>
      <c r="T65" s="160"/>
    </row>
    <row r="66" spans="1:20" s="159" customFormat="1" ht="21" customHeight="1">
      <c r="A66" s="818"/>
      <c r="B66" s="821"/>
      <c r="C66" s="169" t="s">
        <v>14</v>
      </c>
      <c r="D66" s="168">
        <f>SUM(E66:Q66)</f>
        <v>24029680</v>
      </c>
      <c r="E66" s="166">
        <v>476633</v>
      </c>
      <c r="F66" s="166">
        <v>0</v>
      </c>
      <c r="G66" s="179">
        <f>2636866+1254061+8746122+8886992</f>
        <v>21524041</v>
      </c>
      <c r="H66" s="166">
        <v>-123663</v>
      </c>
      <c r="I66" s="179">
        <f>433203+6594+887638+825234</f>
        <v>2152669</v>
      </c>
      <c r="J66" s="166">
        <v>0</v>
      </c>
      <c r="K66" s="180">
        <v>0</v>
      </c>
      <c r="L66" s="167">
        <v>0</v>
      </c>
      <c r="M66" s="167">
        <v>0</v>
      </c>
      <c r="N66" s="166">
        <v>0</v>
      </c>
      <c r="O66" s="166">
        <v>0</v>
      </c>
      <c r="P66" s="179">
        <v>0</v>
      </c>
      <c r="Q66" s="166">
        <v>0</v>
      </c>
      <c r="T66" s="160"/>
    </row>
    <row r="67" spans="1:20" s="159" customFormat="1" ht="21" customHeight="1">
      <c r="A67" s="819"/>
      <c r="B67" s="822"/>
      <c r="C67" s="169" t="s">
        <v>15</v>
      </c>
      <c r="D67" s="168">
        <f>SUM(E67:Q67)</f>
        <v>514445814</v>
      </c>
      <c r="E67" s="166">
        <f t="shared" ref="E67:Q67" si="15">E65+E66</f>
        <v>300881893</v>
      </c>
      <c r="F67" s="166">
        <f t="shared" si="15"/>
        <v>0</v>
      </c>
      <c r="G67" s="166">
        <f t="shared" si="15"/>
        <v>134329127</v>
      </c>
      <c r="H67" s="166">
        <f t="shared" si="15"/>
        <v>53824337</v>
      </c>
      <c r="I67" s="166">
        <f t="shared" si="15"/>
        <v>25410457</v>
      </c>
      <c r="J67" s="166">
        <f t="shared" si="15"/>
        <v>0</v>
      </c>
      <c r="K67" s="166">
        <f t="shared" si="15"/>
        <v>0</v>
      </c>
      <c r="L67" s="166">
        <f t="shared" si="15"/>
        <v>0</v>
      </c>
      <c r="M67" s="166">
        <f t="shared" si="15"/>
        <v>0</v>
      </c>
      <c r="N67" s="166">
        <f t="shared" si="15"/>
        <v>0</v>
      </c>
      <c r="O67" s="166">
        <f t="shared" si="15"/>
        <v>0</v>
      </c>
      <c r="P67" s="167">
        <f t="shared" si="15"/>
        <v>0</v>
      </c>
      <c r="Q67" s="166">
        <f t="shared" si="15"/>
        <v>0</v>
      </c>
      <c r="T67" s="160"/>
    </row>
    <row r="68" spans="1:20" s="159" customFormat="1" ht="5.0999999999999996" customHeight="1">
      <c r="A68" s="186"/>
      <c r="B68" s="185"/>
      <c r="C68" s="185"/>
      <c r="D68" s="204"/>
      <c r="E68" s="181"/>
      <c r="F68" s="181"/>
      <c r="G68" s="181"/>
      <c r="H68" s="181"/>
      <c r="I68" s="181"/>
      <c r="J68" s="181"/>
      <c r="K68" s="181"/>
      <c r="L68" s="181"/>
      <c r="M68" s="204"/>
      <c r="N68" s="181"/>
      <c r="O68" s="181"/>
      <c r="P68" s="181"/>
      <c r="Q68" s="172"/>
      <c r="T68" s="160"/>
    </row>
    <row r="69" spans="1:20" s="159" customFormat="1" ht="20.25" hidden="1" customHeight="1">
      <c r="A69" s="817" t="s">
        <v>31</v>
      </c>
      <c r="B69" s="820" t="s">
        <v>32</v>
      </c>
      <c r="C69" s="169" t="s">
        <v>13</v>
      </c>
      <c r="D69" s="168">
        <f>SUM(E69:Q69)</f>
        <v>2121479</v>
      </c>
      <c r="E69" s="172">
        <v>0</v>
      </c>
      <c r="F69" s="172">
        <v>594515</v>
      </c>
      <c r="G69" s="181">
        <v>93509</v>
      </c>
      <c r="H69" s="172">
        <v>0</v>
      </c>
      <c r="I69" s="183">
        <v>17441</v>
      </c>
      <c r="J69" s="172">
        <v>0</v>
      </c>
      <c r="K69" s="183">
        <v>0</v>
      </c>
      <c r="L69" s="172">
        <v>0</v>
      </c>
      <c r="M69" s="172">
        <v>0</v>
      </c>
      <c r="N69" s="172">
        <v>736014</v>
      </c>
      <c r="O69" s="172">
        <v>680000</v>
      </c>
      <c r="P69" s="181">
        <v>0</v>
      </c>
      <c r="Q69" s="172">
        <v>0</v>
      </c>
      <c r="T69" s="160"/>
    </row>
    <row r="70" spans="1:20" s="159" customFormat="1" ht="20.25" hidden="1" customHeight="1">
      <c r="A70" s="818"/>
      <c r="B70" s="821"/>
      <c r="C70" s="169" t="s">
        <v>14</v>
      </c>
      <c r="D70" s="168">
        <f>SUM(E70:Q70)</f>
        <v>0</v>
      </c>
      <c r="E70" s="166">
        <v>0</v>
      </c>
      <c r="F70" s="166">
        <v>0</v>
      </c>
      <c r="G70" s="179">
        <v>0</v>
      </c>
      <c r="H70" s="166">
        <v>0</v>
      </c>
      <c r="I70" s="179">
        <v>0</v>
      </c>
      <c r="J70" s="166">
        <v>0</v>
      </c>
      <c r="K70" s="180">
        <v>0</v>
      </c>
      <c r="L70" s="167">
        <v>0</v>
      </c>
      <c r="M70" s="167">
        <v>0</v>
      </c>
      <c r="N70" s="166">
        <v>0</v>
      </c>
      <c r="O70" s="166">
        <v>0</v>
      </c>
      <c r="P70" s="179">
        <v>0</v>
      </c>
      <c r="Q70" s="166">
        <v>0</v>
      </c>
      <c r="T70" s="160"/>
    </row>
    <row r="71" spans="1:20" s="159" customFormat="1" ht="20.25" hidden="1" customHeight="1">
      <c r="A71" s="819"/>
      <c r="B71" s="822"/>
      <c r="C71" s="169" t="s">
        <v>15</v>
      </c>
      <c r="D71" s="168">
        <f>SUM(E71:Q71)</f>
        <v>2121479</v>
      </c>
      <c r="E71" s="166">
        <f t="shared" ref="E71:Q71" si="16">E69+E70</f>
        <v>0</v>
      </c>
      <c r="F71" s="166">
        <f t="shared" si="16"/>
        <v>594515</v>
      </c>
      <c r="G71" s="166">
        <f t="shared" si="16"/>
        <v>93509</v>
      </c>
      <c r="H71" s="166">
        <f t="shared" si="16"/>
        <v>0</v>
      </c>
      <c r="I71" s="166">
        <f t="shared" si="16"/>
        <v>17441</v>
      </c>
      <c r="J71" s="166">
        <f t="shared" si="16"/>
        <v>0</v>
      </c>
      <c r="K71" s="166">
        <f t="shared" si="16"/>
        <v>0</v>
      </c>
      <c r="L71" s="166">
        <f t="shared" si="16"/>
        <v>0</v>
      </c>
      <c r="M71" s="166">
        <f t="shared" si="16"/>
        <v>0</v>
      </c>
      <c r="N71" s="166">
        <f t="shared" si="16"/>
        <v>736014</v>
      </c>
      <c r="O71" s="166">
        <f t="shared" si="16"/>
        <v>680000</v>
      </c>
      <c r="P71" s="167">
        <f t="shared" si="16"/>
        <v>0</v>
      </c>
      <c r="Q71" s="166">
        <f t="shared" si="16"/>
        <v>0</v>
      </c>
      <c r="T71" s="160"/>
    </row>
    <row r="72" spans="1:20" s="159" customFormat="1" ht="4.5" hidden="1" customHeight="1">
      <c r="A72" s="186"/>
      <c r="B72" s="185"/>
      <c r="C72" s="185"/>
      <c r="D72" s="204"/>
      <c r="E72" s="181"/>
      <c r="F72" s="181"/>
      <c r="G72" s="181"/>
      <c r="H72" s="181"/>
      <c r="I72" s="181"/>
      <c r="J72" s="181"/>
      <c r="K72" s="181"/>
      <c r="L72" s="181"/>
      <c r="M72" s="204"/>
      <c r="N72" s="181"/>
      <c r="O72" s="181"/>
      <c r="P72" s="181"/>
      <c r="Q72" s="172"/>
      <c r="T72" s="160"/>
    </row>
    <row r="73" spans="1:20" s="159" customFormat="1" ht="18.75" hidden="1" customHeight="1">
      <c r="A73" s="817" t="s">
        <v>34</v>
      </c>
      <c r="B73" s="820" t="s">
        <v>35</v>
      </c>
      <c r="C73" s="169" t="s">
        <v>13</v>
      </c>
      <c r="D73" s="168">
        <f>SUM(E73:Q73)</f>
        <v>13672946</v>
      </c>
      <c r="E73" s="172">
        <v>0</v>
      </c>
      <c r="F73" s="172">
        <v>0</v>
      </c>
      <c r="G73" s="181">
        <v>0</v>
      </c>
      <c r="H73" s="172">
        <v>0</v>
      </c>
      <c r="I73" s="183">
        <v>0</v>
      </c>
      <c r="J73" s="172">
        <v>0</v>
      </c>
      <c r="K73" s="183">
        <v>0</v>
      </c>
      <c r="L73" s="172">
        <v>0</v>
      </c>
      <c r="M73" s="172">
        <v>0</v>
      </c>
      <c r="N73" s="172">
        <v>13672946</v>
      </c>
      <c r="O73" s="172">
        <v>0</v>
      </c>
      <c r="P73" s="181">
        <v>0</v>
      </c>
      <c r="Q73" s="172">
        <v>0</v>
      </c>
      <c r="T73" s="160"/>
    </row>
    <row r="74" spans="1:20" s="159" customFormat="1" ht="18.75" hidden="1" customHeight="1">
      <c r="A74" s="818"/>
      <c r="B74" s="821"/>
      <c r="C74" s="169" t="s">
        <v>14</v>
      </c>
      <c r="D74" s="168">
        <f>SUM(E74:Q74)</f>
        <v>0</v>
      </c>
      <c r="E74" s="166">
        <v>0</v>
      </c>
      <c r="F74" s="166">
        <v>0</v>
      </c>
      <c r="G74" s="179">
        <v>0</v>
      </c>
      <c r="H74" s="166">
        <v>0</v>
      </c>
      <c r="I74" s="179">
        <v>0</v>
      </c>
      <c r="J74" s="166">
        <v>0</v>
      </c>
      <c r="K74" s="180">
        <v>0</v>
      </c>
      <c r="L74" s="167">
        <v>0</v>
      </c>
      <c r="M74" s="167">
        <v>0</v>
      </c>
      <c r="N74" s="166">
        <v>0</v>
      </c>
      <c r="O74" s="166">
        <v>0</v>
      </c>
      <c r="P74" s="179">
        <v>0</v>
      </c>
      <c r="Q74" s="166">
        <v>0</v>
      </c>
      <c r="T74" s="160"/>
    </row>
    <row r="75" spans="1:20" s="159" customFormat="1" ht="18.75" hidden="1" customHeight="1">
      <c r="A75" s="819"/>
      <c r="B75" s="822"/>
      <c r="C75" s="169" t="s">
        <v>15</v>
      </c>
      <c r="D75" s="168">
        <f>SUM(E75:Q75)</f>
        <v>13672946</v>
      </c>
      <c r="E75" s="166">
        <f t="shared" ref="E75:Q75" si="17">E73+E74</f>
        <v>0</v>
      </c>
      <c r="F75" s="166">
        <f t="shared" si="17"/>
        <v>0</v>
      </c>
      <c r="G75" s="166">
        <f t="shared" si="17"/>
        <v>0</v>
      </c>
      <c r="H75" s="166">
        <f t="shared" si="17"/>
        <v>0</v>
      </c>
      <c r="I75" s="166">
        <f t="shared" si="17"/>
        <v>0</v>
      </c>
      <c r="J75" s="166">
        <f t="shared" si="17"/>
        <v>0</v>
      </c>
      <c r="K75" s="166">
        <f t="shared" si="17"/>
        <v>0</v>
      </c>
      <c r="L75" s="166">
        <f t="shared" si="17"/>
        <v>0</v>
      </c>
      <c r="M75" s="166">
        <f t="shared" si="17"/>
        <v>0</v>
      </c>
      <c r="N75" s="166">
        <f t="shared" si="17"/>
        <v>13672946</v>
      </c>
      <c r="O75" s="166">
        <f t="shared" si="17"/>
        <v>0</v>
      </c>
      <c r="P75" s="167">
        <f t="shared" si="17"/>
        <v>0</v>
      </c>
      <c r="Q75" s="166">
        <f t="shared" si="17"/>
        <v>0</v>
      </c>
      <c r="T75" s="160"/>
    </row>
    <row r="76" spans="1:20" s="159" customFormat="1" ht="3.75" hidden="1" customHeight="1">
      <c r="A76" s="186"/>
      <c r="B76" s="185"/>
      <c r="C76" s="185"/>
      <c r="D76" s="204"/>
      <c r="E76" s="181"/>
      <c r="F76" s="181"/>
      <c r="G76" s="181"/>
      <c r="H76" s="181"/>
      <c r="I76" s="181"/>
      <c r="J76" s="181"/>
      <c r="K76" s="181"/>
      <c r="L76" s="181"/>
      <c r="M76" s="204"/>
      <c r="N76" s="181"/>
      <c r="O76" s="181"/>
      <c r="P76" s="181"/>
      <c r="Q76" s="172"/>
      <c r="T76" s="160"/>
    </row>
    <row r="77" spans="1:20" s="159" customFormat="1" ht="20.25" hidden="1" customHeight="1">
      <c r="A77" s="817" t="s">
        <v>258</v>
      </c>
      <c r="B77" s="820" t="s">
        <v>36</v>
      </c>
      <c r="C77" s="169" t="s">
        <v>13</v>
      </c>
      <c r="D77" s="168">
        <f>SUM(E77:Q77)</f>
        <v>13703436</v>
      </c>
      <c r="E77" s="172">
        <v>0</v>
      </c>
      <c r="F77" s="172">
        <v>3000</v>
      </c>
      <c r="G77" s="181">
        <v>11433809</v>
      </c>
      <c r="H77" s="172">
        <v>0</v>
      </c>
      <c r="I77" s="183">
        <v>2088627</v>
      </c>
      <c r="J77" s="172">
        <v>0</v>
      </c>
      <c r="K77" s="183">
        <v>0</v>
      </c>
      <c r="L77" s="172">
        <v>0</v>
      </c>
      <c r="M77" s="172">
        <v>0</v>
      </c>
      <c r="N77" s="172">
        <v>100000</v>
      </c>
      <c r="O77" s="172">
        <v>78000</v>
      </c>
      <c r="P77" s="181">
        <v>0</v>
      </c>
      <c r="Q77" s="172">
        <v>0</v>
      </c>
      <c r="T77" s="160"/>
    </row>
    <row r="78" spans="1:20" s="159" customFormat="1" ht="20.25" hidden="1" customHeight="1">
      <c r="A78" s="818"/>
      <c r="B78" s="821"/>
      <c r="C78" s="169" t="s">
        <v>14</v>
      </c>
      <c r="D78" s="168">
        <f>SUM(E78:Q78)</f>
        <v>0</v>
      </c>
      <c r="E78" s="166">
        <v>0</v>
      </c>
      <c r="F78" s="166">
        <v>0</v>
      </c>
      <c r="G78" s="179">
        <v>0</v>
      </c>
      <c r="H78" s="166">
        <v>0</v>
      </c>
      <c r="I78" s="179">
        <v>0</v>
      </c>
      <c r="J78" s="166">
        <v>0</v>
      </c>
      <c r="K78" s="180">
        <v>0</v>
      </c>
      <c r="L78" s="167">
        <v>0</v>
      </c>
      <c r="M78" s="167">
        <v>0</v>
      </c>
      <c r="N78" s="166">
        <v>0</v>
      </c>
      <c r="O78" s="166">
        <v>0</v>
      </c>
      <c r="P78" s="179">
        <v>0</v>
      </c>
      <c r="Q78" s="166">
        <v>0</v>
      </c>
      <c r="T78" s="160"/>
    </row>
    <row r="79" spans="1:20" s="159" customFormat="1" ht="20.25" hidden="1" customHeight="1">
      <c r="A79" s="819"/>
      <c r="B79" s="822"/>
      <c r="C79" s="169" t="s">
        <v>15</v>
      </c>
      <c r="D79" s="168">
        <f>SUM(E79:Q79)</f>
        <v>13703436</v>
      </c>
      <c r="E79" s="166">
        <f t="shared" ref="E79:Q79" si="18">E77+E78</f>
        <v>0</v>
      </c>
      <c r="F79" s="166">
        <f t="shared" si="18"/>
        <v>3000</v>
      </c>
      <c r="G79" s="166">
        <f t="shared" si="18"/>
        <v>11433809</v>
      </c>
      <c r="H79" s="166">
        <f t="shared" si="18"/>
        <v>0</v>
      </c>
      <c r="I79" s="166">
        <f t="shared" si="18"/>
        <v>2088627</v>
      </c>
      <c r="J79" s="166">
        <f t="shared" si="18"/>
        <v>0</v>
      </c>
      <c r="K79" s="166">
        <f t="shared" si="18"/>
        <v>0</v>
      </c>
      <c r="L79" s="166">
        <f t="shared" si="18"/>
        <v>0</v>
      </c>
      <c r="M79" s="166">
        <f t="shared" si="18"/>
        <v>0</v>
      </c>
      <c r="N79" s="166">
        <f t="shared" si="18"/>
        <v>100000</v>
      </c>
      <c r="O79" s="166">
        <f t="shared" si="18"/>
        <v>78000</v>
      </c>
      <c r="P79" s="167">
        <f t="shared" si="18"/>
        <v>0</v>
      </c>
      <c r="Q79" s="166">
        <f t="shared" si="18"/>
        <v>0</v>
      </c>
      <c r="T79" s="160"/>
    </row>
    <row r="80" spans="1:20" s="159" customFormat="1" ht="3.75" hidden="1" customHeight="1">
      <c r="A80" s="186"/>
      <c r="B80" s="185"/>
      <c r="C80" s="185"/>
      <c r="D80" s="204"/>
      <c r="E80" s="181"/>
      <c r="F80" s="181"/>
      <c r="G80" s="181"/>
      <c r="H80" s="181"/>
      <c r="I80" s="181"/>
      <c r="J80" s="181"/>
      <c r="K80" s="181"/>
      <c r="L80" s="181"/>
      <c r="M80" s="204"/>
      <c r="N80" s="181"/>
      <c r="O80" s="181"/>
      <c r="P80" s="181"/>
      <c r="Q80" s="172"/>
      <c r="T80" s="160"/>
    </row>
    <row r="81" spans="1:20" s="159" customFormat="1" ht="20.25" customHeight="1">
      <c r="A81" s="817" t="s">
        <v>417</v>
      </c>
      <c r="B81" s="820" t="s">
        <v>433</v>
      </c>
      <c r="C81" s="169" t="s">
        <v>13</v>
      </c>
      <c r="D81" s="168">
        <f>SUM(E81:Q81)</f>
        <v>8977328</v>
      </c>
      <c r="E81" s="172">
        <v>0</v>
      </c>
      <c r="F81" s="172">
        <v>2655328</v>
      </c>
      <c r="G81" s="182">
        <v>0</v>
      </c>
      <c r="H81" s="172">
        <v>2651000</v>
      </c>
      <c r="I81" s="183">
        <v>3659000</v>
      </c>
      <c r="J81" s="172">
        <v>0</v>
      </c>
      <c r="K81" s="183">
        <v>0</v>
      </c>
      <c r="L81" s="172">
        <v>0</v>
      </c>
      <c r="M81" s="172">
        <v>0</v>
      </c>
      <c r="N81" s="172">
        <v>12000</v>
      </c>
      <c r="O81" s="172">
        <v>0</v>
      </c>
      <c r="P81" s="181">
        <v>0</v>
      </c>
      <c r="Q81" s="172">
        <v>0</v>
      </c>
      <c r="T81" s="160"/>
    </row>
    <row r="82" spans="1:20" s="159" customFormat="1" ht="20.25" customHeight="1">
      <c r="A82" s="818"/>
      <c r="B82" s="821"/>
      <c r="C82" s="169" t="s">
        <v>14</v>
      </c>
      <c r="D82" s="168">
        <f>SUM(E82:Q82)</f>
        <v>10807</v>
      </c>
      <c r="E82" s="166">
        <v>0</v>
      </c>
      <c r="F82" s="166">
        <v>10807</v>
      </c>
      <c r="G82" s="179">
        <v>0</v>
      </c>
      <c r="H82" s="166">
        <v>0</v>
      </c>
      <c r="I82" s="179">
        <v>0</v>
      </c>
      <c r="J82" s="166">
        <v>0</v>
      </c>
      <c r="K82" s="180">
        <v>0</v>
      </c>
      <c r="L82" s="167">
        <v>0</v>
      </c>
      <c r="M82" s="167">
        <v>0</v>
      </c>
      <c r="N82" s="166">
        <v>0</v>
      </c>
      <c r="O82" s="166">
        <v>0</v>
      </c>
      <c r="P82" s="179">
        <v>0</v>
      </c>
      <c r="Q82" s="170">
        <v>0</v>
      </c>
      <c r="T82" s="160"/>
    </row>
    <row r="83" spans="1:20" s="159" customFormat="1" ht="24" customHeight="1">
      <c r="A83" s="819"/>
      <c r="B83" s="822"/>
      <c r="C83" s="169" t="s">
        <v>15</v>
      </c>
      <c r="D83" s="168">
        <f>SUM(E83:Q83)</f>
        <v>8988135</v>
      </c>
      <c r="E83" s="166">
        <f t="shared" ref="E83:Q83" si="19">E81+E82</f>
        <v>0</v>
      </c>
      <c r="F83" s="166">
        <f t="shared" si="19"/>
        <v>2666135</v>
      </c>
      <c r="G83" s="166">
        <f t="shared" si="19"/>
        <v>0</v>
      </c>
      <c r="H83" s="166">
        <f t="shared" si="19"/>
        <v>2651000</v>
      </c>
      <c r="I83" s="166">
        <f t="shared" si="19"/>
        <v>3659000</v>
      </c>
      <c r="J83" s="166">
        <f t="shared" si="19"/>
        <v>0</v>
      </c>
      <c r="K83" s="166">
        <f t="shared" si="19"/>
        <v>0</v>
      </c>
      <c r="L83" s="166">
        <f t="shared" si="19"/>
        <v>0</v>
      </c>
      <c r="M83" s="166">
        <f t="shared" si="19"/>
        <v>0</v>
      </c>
      <c r="N83" s="166">
        <f t="shared" si="19"/>
        <v>12000</v>
      </c>
      <c r="O83" s="166">
        <f t="shared" si="19"/>
        <v>0</v>
      </c>
      <c r="P83" s="167">
        <f t="shared" si="19"/>
        <v>0</v>
      </c>
      <c r="Q83" s="166">
        <f t="shared" si="19"/>
        <v>0</v>
      </c>
      <c r="T83" s="160"/>
    </row>
    <row r="84" spans="1:20" s="159" customFormat="1" ht="5.0999999999999996" customHeight="1">
      <c r="A84" s="186"/>
      <c r="B84" s="185"/>
      <c r="C84" s="185"/>
      <c r="D84" s="204"/>
      <c r="E84" s="181"/>
      <c r="F84" s="181"/>
      <c r="G84" s="181"/>
      <c r="H84" s="181"/>
      <c r="I84" s="181"/>
      <c r="J84" s="181"/>
      <c r="K84" s="181"/>
      <c r="L84" s="181"/>
      <c r="M84" s="204"/>
      <c r="N84" s="181"/>
      <c r="O84" s="181"/>
      <c r="P84" s="181"/>
      <c r="Q84" s="172"/>
      <c r="T84" s="160"/>
    </row>
    <row r="85" spans="1:20" s="159" customFormat="1" ht="20.25" hidden="1" customHeight="1">
      <c r="A85" s="817" t="s">
        <v>263</v>
      </c>
      <c r="B85" s="820" t="s">
        <v>264</v>
      </c>
      <c r="C85" s="169" t="s">
        <v>13</v>
      </c>
      <c r="D85" s="168">
        <f>SUM(E85:Q85)</f>
        <v>4550</v>
      </c>
      <c r="E85" s="172">
        <v>0</v>
      </c>
      <c r="F85" s="172">
        <v>4550</v>
      </c>
      <c r="G85" s="182">
        <v>0</v>
      </c>
      <c r="H85" s="172">
        <v>0</v>
      </c>
      <c r="I85" s="181">
        <v>0</v>
      </c>
      <c r="J85" s="172">
        <v>0</v>
      </c>
      <c r="K85" s="183">
        <v>0</v>
      </c>
      <c r="L85" s="182">
        <v>0</v>
      </c>
      <c r="M85" s="172">
        <v>0</v>
      </c>
      <c r="N85" s="172">
        <v>0</v>
      </c>
      <c r="O85" s="172">
        <v>0</v>
      </c>
      <c r="P85" s="181">
        <v>0</v>
      </c>
      <c r="Q85" s="172">
        <v>0</v>
      </c>
      <c r="T85" s="160"/>
    </row>
    <row r="86" spans="1:20" s="159" customFormat="1" ht="20.25" hidden="1" customHeight="1">
      <c r="A86" s="818"/>
      <c r="B86" s="821"/>
      <c r="C86" s="169" t="s">
        <v>14</v>
      </c>
      <c r="D86" s="168">
        <f>SUM(E86:Q86)</f>
        <v>0</v>
      </c>
      <c r="E86" s="166">
        <v>0</v>
      </c>
      <c r="F86" s="166">
        <v>0</v>
      </c>
      <c r="G86" s="179">
        <v>0</v>
      </c>
      <c r="H86" s="166">
        <v>0</v>
      </c>
      <c r="I86" s="179">
        <v>0</v>
      </c>
      <c r="J86" s="166">
        <v>0</v>
      </c>
      <c r="K86" s="180">
        <v>0</v>
      </c>
      <c r="L86" s="167">
        <v>0</v>
      </c>
      <c r="M86" s="167">
        <v>0</v>
      </c>
      <c r="N86" s="166">
        <v>0</v>
      </c>
      <c r="O86" s="166">
        <v>0</v>
      </c>
      <c r="P86" s="179">
        <v>0</v>
      </c>
      <c r="Q86" s="166">
        <v>0</v>
      </c>
      <c r="T86" s="160"/>
    </row>
    <row r="87" spans="1:20" s="159" customFormat="1" ht="20.25" hidden="1" customHeight="1">
      <c r="A87" s="819"/>
      <c r="B87" s="822"/>
      <c r="C87" s="169" t="s">
        <v>15</v>
      </c>
      <c r="D87" s="168">
        <f>SUM(E87:Q87)</f>
        <v>4550</v>
      </c>
      <c r="E87" s="166">
        <f t="shared" ref="E87:Q87" si="20">E85+E86</f>
        <v>0</v>
      </c>
      <c r="F87" s="166">
        <f t="shared" si="20"/>
        <v>4550</v>
      </c>
      <c r="G87" s="166">
        <f t="shared" si="20"/>
        <v>0</v>
      </c>
      <c r="H87" s="166">
        <f t="shared" si="20"/>
        <v>0</v>
      </c>
      <c r="I87" s="166">
        <f t="shared" si="20"/>
        <v>0</v>
      </c>
      <c r="J87" s="166">
        <f t="shared" si="20"/>
        <v>0</v>
      </c>
      <c r="K87" s="166">
        <f t="shared" si="20"/>
        <v>0</v>
      </c>
      <c r="L87" s="166">
        <f t="shared" si="20"/>
        <v>0</v>
      </c>
      <c r="M87" s="166">
        <f t="shared" si="20"/>
        <v>0</v>
      </c>
      <c r="N87" s="166">
        <f t="shared" si="20"/>
        <v>0</v>
      </c>
      <c r="O87" s="166">
        <f t="shared" si="20"/>
        <v>0</v>
      </c>
      <c r="P87" s="167">
        <f t="shared" si="20"/>
        <v>0</v>
      </c>
      <c r="Q87" s="166">
        <f t="shared" si="20"/>
        <v>0</v>
      </c>
      <c r="T87" s="160"/>
    </row>
    <row r="88" spans="1:20" s="159" customFormat="1" ht="20.25" hidden="1" customHeight="1">
      <c r="A88" s="186"/>
      <c r="B88" s="185"/>
      <c r="C88" s="185"/>
      <c r="D88" s="204"/>
      <c r="E88" s="181"/>
      <c r="F88" s="181"/>
      <c r="G88" s="181"/>
      <c r="H88" s="181"/>
      <c r="I88" s="181"/>
      <c r="J88" s="181"/>
      <c r="K88" s="181"/>
      <c r="L88" s="181"/>
      <c r="M88" s="204"/>
      <c r="N88" s="181"/>
      <c r="O88" s="181"/>
      <c r="P88" s="181"/>
      <c r="Q88" s="172"/>
      <c r="T88" s="160"/>
    </row>
    <row r="89" spans="1:20" s="159" customFormat="1" ht="20.25" hidden="1" customHeight="1">
      <c r="A89" s="817" t="s">
        <v>436</v>
      </c>
      <c r="B89" s="820" t="s">
        <v>62</v>
      </c>
      <c r="C89" s="169" t="s">
        <v>13</v>
      </c>
      <c r="D89" s="168">
        <f>SUM(E89:Q89)</f>
        <v>1963000</v>
      </c>
      <c r="E89" s="172">
        <v>0</v>
      </c>
      <c r="F89" s="172">
        <v>0</v>
      </c>
      <c r="G89" s="182">
        <v>0</v>
      </c>
      <c r="H89" s="172">
        <v>0</v>
      </c>
      <c r="I89" s="181">
        <v>0</v>
      </c>
      <c r="J89" s="172">
        <v>0</v>
      </c>
      <c r="K89" s="183">
        <v>0</v>
      </c>
      <c r="L89" s="182">
        <v>0</v>
      </c>
      <c r="M89" s="172">
        <v>0</v>
      </c>
      <c r="N89" s="172">
        <v>1963000</v>
      </c>
      <c r="O89" s="172">
        <v>0</v>
      </c>
      <c r="P89" s="181">
        <v>0</v>
      </c>
      <c r="Q89" s="172">
        <v>0</v>
      </c>
      <c r="T89" s="160"/>
    </row>
    <row r="90" spans="1:20" s="159" customFormat="1" ht="20.25" hidden="1" customHeight="1">
      <c r="A90" s="818"/>
      <c r="B90" s="821"/>
      <c r="C90" s="169" t="s">
        <v>14</v>
      </c>
      <c r="D90" s="168">
        <f>SUM(E90:Q90)</f>
        <v>0</v>
      </c>
      <c r="E90" s="166">
        <v>0</v>
      </c>
      <c r="F90" s="166">
        <v>0</v>
      </c>
      <c r="G90" s="179">
        <v>0</v>
      </c>
      <c r="H90" s="166">
        <v>0</v>
      </c>
      <c r="I90" s="179">
        <v>0</v>
      </c>
      <c r="J90" s="166">
        <v>0</v>
      </c>
      <c r="K90" s="180">
        <v>0</v>
      </c>
      <c r="L90" s="167">
        <v>0</v>
      </c>
      <c r="M90" s="167">
        <v>0</v>
      </c>
      <c r="N90" s="166">
        <v>0</v>
      </c>
      <c r="O90" s="166">
        <v>0</v>
      </c>
      <c r="P90" s="179">
        <v>0</v>
      </c>
      <c r="Q90" s="166">
        <v>0</v>
      </c>
      <c r="T90" s="160"/>
    </row>
    <row r="91" spans="1:20" s="159" customFormat="1" ht="20.25" hidden="1" customHeight="1">
      <c r="A91" s="819"/>
      <c r="B91" s="822"/>
      <c r="C91" s="169" t="s">
        <v>15</v>
      </c>
      <c r="D91" s="168">
        <f>SUM(E91:Q91)</f>
        <v>1963000</v>
      </c>
      <c r="E91" s="166">
        <f t="shared" ref="E91:Q91" si="21">E89+E90</f>
        <v>0</v>
      </c>
      <c r="F91" s="166">
        <f t="shared" si="21"/>
        <v>0</v>
      </c>
      <c r="G91" s="166">
        <f t="shared" si="21"/>
        <v>0</v>
      </c>
      <c r="H91" s="166">
        <f t="shared" si="21"/>
        <v>0</v>
      </c>
      <c r="I91" s="166">
        <f t="shared" si="21"/>
        <v>0</v>
      </c>
      <c r="J91" s="166">
        <f t="shared" si="21"/>
        <v>0</v>
      </c>
      <c r="K91" s="166">
        <f t="shared" si="21"/>
        <v>0</v>
      </c>
      <c r="L91" s="166">
        <f t="shared" si="21"/>
        <v>0</v>
      </c>
      <c r="M91" s="166">
        <f t="shared" si="21"/>
        <v>0</v>
      </c>
      <c r="N91" s="166">
        <f t="shared" si="21"/>
        <v>1963000</v>
      </c>
      <c r="O91" s="166">
        <f t="shared" si="21"/>
        <v>0</v>
      </c>
      <c r="P91" s="167">
        <f t="shared" si="21"/>
        <v>0</v>
      </c>
      <c r="Q91" s="166">
        <f t="shared" si="21"/>
        <v>0</v>
      </c>
      <c r="T91" s="160"/>
    </row>
    <row r="92" spans="1:20" s="159" customFormat="1" ht="20.25" hidden="1" customHeight="1">
      <c r="A92" s="165"/>
      <c r="B92" s="164"/>
      <c r="C92" s="185"/>
      <c r="D92" s="204"/>
      <c r="E92" s="181"/>
      <c r="F92" s="181"/>
      <c r="G92" s="181"/>
      <c r="H92" s="181"/>
      <c r="I92" s="181"/>
      <c r="J92" s="181"/>
      <c r="K92" s="181"/>
      <c r="L92" s="181"/>
      <c r="M92" s="204"/>
      <c r="N92" s="181"/>
      <c r="O92" s="181"/>
      <c r="P92" s="181"/>
      <c r="Q92" s="172"/>
      <c r="T92" s="160"/>
    </row>
    <row r="93" spans="1:20" s="159" customFormat="1" ht="20.25" hidden="1" customHeight="1">
      <c r="A93" s="817" t="s">
        <v>418</v>
      </c>
      <c r="B93" s="820" t="s">
        <v>38</v>
      </c>
      <c r="C93" s="169" t="s">
        <v>13</v>
      </c>
      <c r="D93" s="168">
        <f>SUM(E93:Q93)</f>
        <v>2314315</v>
      </c>
      <c r="E93" s="172">
        <v>0</v>
      </c>
      <c r="F93" s="172">
        <v>1386315</v>
      </c>
      <c r="G93" s="182">
        <v>90000</v>
      </c>
      <c r="H93" s="172">
        <v>0</v>
      </c>
      <c r="I93" s="181">
        <v>0</v>
      </c>
      <c r="J93" s="172">
        <v>0</v>
      </c>
      <c r="K93" s="183">
        <v>58000</v>
      </c>
      <c r="L93" s="182">
        <v>0</v>
      </c>
      <c r="M93" s="172">
        <v>0</v>
      </c>
      <c r="N93" s="172">
        <v>780000</v>
      </c>
      <c r="O93" s="172">
        <v>0</v>
      </c>
      <c r="P93" s="181">
        <v>0</v>
      </c>
      <c r="Q93" s="172">
        <v>0</v>
      </c>
      <c r="T93" s="160"/>
    </row>
    <row r="94" spans="1:20" s="159" customFormat="1" ht="20.25" hidden="1" customHeight="1">
      <c r="A94" s="818"/>
      <c r="B94" s="821"/>
      <c r="C94" s="169" t="s">
        <v>14</v>
      </c>
      <c r="D94" s="168">
        <f>SUM(E94:Q94)</f>
        <v>0</v>
      </c>
      <c r="E94" s="166">
        <v>0</v>
      </c>
      <c r="F94" s="166">
        <v>0</v>
      </c>
      <c r="G94" s="179">
        <v>0</v>
      </c>
      <c r="H94" s="166">
        <v>0</v>
      </c>
      <c r="I94" s="179">
        <v>0</v>
      </c>
      <c r="J94" s="166">
        <v>0</v>
      </c>
      <c r="K94" s="180">
        <v>0</v>
      </c>
      <c r="L94" s="167">
        <v>0</v>
      </c>
      <c r="M94" s="167">
        <v>0</v>
      </c>
      <c r="N94" s="166">
        <v>0</v>
      </c>
      <c r="O94" s="166">
        <v>0</v>
      </c>
      <c r="P94" s="179">
        <v>0</v>
      </c>
      <c r="Q94" s="166">
        <v>0</v>
      </c>
      <c r="T94" s="160"/>
    </row>
    <row r="95" spans="1:20" s="159" customFormat="1" ht="20.25" hidden="1" customHeight="1">
      <c r="A95" s="819"/>
      <c r="B95" s="822"/>
      <c r="C95" s="169" t="s">
        <v>15</v>
      </c>
      <c r="D95" s="168">
        <f>SUM(E95:Q95)</f>
        <v>2314315</v>
      </c>
      <c r="E95" s="166">
        <f t="shared" ref="E95:Q95" si="22">E93+E94</f>
        <v>0</v>
      </c>
      <c r="F95" s="166">
        <f t="shared" si="22"/>
        <v>1386315</v>
      </c>
      <c r="G95" s="166">
        <f t="shared" si="22"/>
        <v>90000</v>
      </c>
      <c r="H95" s="166">
        <f t="shared" si="22"/>
        <v>0</v>
      </c>
      <c r="I95" s="166">
        <f t="shared" si="22"/>
        <v>0</v>
      </c>
      <c r="J95" s="166">
        <f t="shared" si="22"/>
        <v>0</v>
      </c>
      <c r="K95" s="166">
        <f t="shared" si="22"/>
        <v>58000</v>
      </c>
      <c r="L95" s="166">
        <f t="shared" si="22"/>
        <v>0</v>
      </c>
      <c r="M95" s="166">
        <f t="shared" si="22"/>
        <v>0</v>
      </c>
      <c r="N95" s="166">
        <f t="shared" si="22"/>
        <v>780000</v>
      </c>
      <c r="O95" s="166">
        <f t="shared" si="22"/>
        <v>0</v>
      </c>
      <c r="P95" s="167">
        <f t="shared" si="22"/>
        <v>0</v>
      </c>
      <c r="Q95" s="166">
        <f t="shared" si="22"/>
        <v>0</v>
      </c>
      <c r="T95" s="160"/>
    </row>
    <row r="96" spans="1:20" s="159" customFormat="1" ht="1.5" hidden="1" customHeight="1">
      <c r="A96" s="186"/>
      <c r="B96" s="185"/>
      <c r="C96" s="185"/>
      <c r="D96" s="204"/>
      <c r="E96" s="181"/>
      <c r="F96" s="181"/>
      <c r="G96" s="181"/>
      <c r="H96" s="181"/>
      <c r="I96" s="181"/>
      <c r="J96" s="181"/>
      <c r="K96" s="181"/>
      <c r="L96" s="181"/>
      <c r="M96" s="204"/>
      <c r="N96" s="181"/>
      <c r="O96" s="181"/>
      <c r="P96" s="181"/>
      <c r="Q96" s="172"/>
      <c r="T96" s="160"/>
    </row>
    <row r="97" spans="1:20" s="159" customFormat="1" ht="20.25" customHeight="1">
      <c r="A97" s="817" t="s">
        <v>271</v>
      </c>
      <c r="B97" s="820" t="s">
        <v>39</v>
      </c>
      <c r="C97" s="169" t="s">
        <v>13</v>
      </c>
      <c r="D97" s="168">
        <f>SUM(E97:Q97)</f>
        <v>4241122</v>
      </c>
      <c r="E97" s="172">
        <v>0</v>
      </c>
      <c r="F97" s="172">
        <v>0</v>
      </c>
      <c r="G97" s="182">
        <v>0</v>
      </c>
      <c r="H97" s="172">
        <v>0</v>
      </c>
      <c r="I97" s="181">
        <v>0</v>
      </c>
      <c r="J97" s="172">
        <v>0</v>
      </c>
      <c r="K97" s="183">
        <v>0</v>
      </c>
      <c r="L97" s="182">
        <v>0</v>
      </c>
      <c r="M97" s="172">
        <v>0</v>
      </c>
      <c r="N97" s="172">
        <v>0</v>
      </c>
      <c r="O97" s="172">
        <v>4241122</v>
      </c>
      <c r="P97" s="181">
        <v>0</v>
      </c>
      <c r="Q97" s="172">
        <v>0</v>
      </c>
      <c r="T97" s="160"/>
    </row>
    <row r="98" spans="1:20" s="159" customFormat="1" ht="20.25" customHeight="1">
      <c r="A98" s="818"/>
      <c r="B98" s="821"/>
      <c r="C98" s="169" t="s">
        <v>14</v>
      </c>
      <c r="D98" s="168">
        <f>SUM(E98:Q98)</f>
        <v>47600</v>
      </c>
      <c r="E98" s="166">
        <v>0</v>
      </c>
      <c r="F98" s="166">
        <v>0</v>
      </c>
      <c r="G98" s="179">
        <v>0</v>
      </c>
      <c r="H98" s="166">
        <v>0</v>
      </c>
      <c r="I98" s="179">
        <v>0</v>
      </c>
      <c r="J98" s="166">
        <v>0</v>
      </c>
      <c r="K98" s="180">
        <v>0</v>
      </c>
      <c r="L98" s="167">
        <v>0</v>
      </c>
      <c r="M98" s="167">
        <v>0</v>
      </c>
      <c r="N98" s="166">
        <v>0</v>
      </c>
      <c r="O98" s="166">
        <v>47600</v>
      </c>
      <c r="P98" s="179">
        <v>0</v>
      </c>
      <c r="Q98" s="170">
        <v>0</v>
      </c>
      <c r="T98" s="160"/>
    </row>
    <row r="99" spans="1:20" s="159" customFormat="1" ht="20.25" customHeight="1">
      <c r="A99" s="819"/>
      <c r="B99" s="822"/>
      <c r="C99" s="169" t="s">
        <v>15</v>
      </c>
      <c r="D99" s="168">
        <f>SUM(E99:Q99)</f>
        <v>4288722</v>
      </c>
      <c r="E99" s="166">
        <f t="shared" ref="E99:Q99" si="23">E97+E98</f>
        <v>0</v>
      </c>
      <c r="F99" s="166">
        <f t="shared" si="23"/>
        <v>0</v>
      </c>
      <c r="G99" s="166">
        <f t="shared" si="23"/>
        <v>0</v>
      </c>
      <c r="H99" s="166">
        <f t="shared" si="23"/>
        <v>0</v>
      </c>
      <c r="I99" s="166">
        <f t="shared" si="23"/>
        <v>0</v>
      </c>
      <c r="J99" s="166">
        <f t="shared" si="23"/>
        <v>0</v>
      </c>
      <c r="K99" s="166">
        <f t="shared" si="23"/>
        <v>0</v>
      </c>
      <c r="L99" s="166">
        <f t="shared" si="23"/>
        <v>0</v>
      </c>
      <c r="M99" s="166">
        <f t="shared" si="23"/>
        <v>0</v>
      </c>
      <c r="N99" s="166">
        <f t="shared" si="23"/>
        <v>0</v>
      </c>
      <c r="O99" s="166">
        <f t="shared" si="23"/>
        <v>4288722</v>
      </c>
      <c r="P99" s="167">
        <f t="shared" si="23"/>
        <v>0</v>
      </c>
      <c r="Q99" s="166">
        <f t="shared" si="23"/>
        <v>0</v>
      </c>
      <c r="T99" s="160"/>
    </row>
    <row r="100" spans="1:20" s="159" customFormat="1" ht="5.0999999999999996" customHeight="1">
      <c r="A100" s="186"/>
      <c r="B100" s="185"/>
      <c r="C100" s="185"/>
      <c r="D100" s="204"/>
      <c r="E100" s="181"/>
      <c r="F100" s="181"/>
      <c r="G100" s="181"/>
      <c r="H100" s="181"/>
      <c r="I100" s="181"/>
      <c r="J100" s="181"/>
      <c r="K100" s="181"/>
      <c r="L100" s="181"/>
      <c r="M100" s="204"/>
      <c r="N100" s="181"/>
      <c r="O100" s="181"/>
      <c r="P100" s="181"/>
      <c r="Q100" s="172"/>
      <c r="T100" s="160"/>
    </row>
    <row r="101" spans="1:20" s="159" customFormat="1" ht="23.25" customHeight="1">
      <c r="A101" s="817" t="s">
        <v>422</v>
      </c>
      <c r="B101" s="820" t="s">
        <v>40</v>
      </c>
      <c r="C101" s="169" t="s">
        <v>13</v>
      </c>
      <c r="D101" s="168">
        <f>SUM(E101:Q101)</f>
        <v>2286000</v>
      </c>
      <c r="E101" s="172">
        <v>0</v>
      </c>
      <c r="F101" s="172">
        <v>106000</v>
      </c>
      <c r="G101" s="182">
        <v>0</v>
      </c>
      <c r="H101" s="172">
        <v>0</v>
      </c>
      <c r="I101" s="183">
        <v>0</v>
      </c>
      <c r="J101" s="172">
        <v>0</v>
      </c>
      <c r="K101" s="172">
        <v>0</v>
      </c>
      <c r="L101" s="172">
        <v>0</v>
      </c>
      <c r="M101" s="172">
        <v>0</v>
      </c>
      <c r="N101" s="172">
        <v>2180000</v>
      </c>
      <c r="O101" s="172">
        <v>0</v>
      </c>
      <c r="P101" s="182">
        <v>0</v>
      </c>
      <c r="Q101" s="172">
        <v>0</v>
      </c>
      <c r="T101" s="160"/>
    </row>
    <row r="102" spans="1:20" s="159" customFormat="1" ht="23.25" customHeight="1">
      <c r="A102" s="818"/>
      <c r="B102" s="821"/>
      <c r="C102" s="169" t="s">
        <v>14</v>
      </c>
      <c r="D102" s="168">
        <f>SUM(E102:Q102)</f>
        <v>22901</v>
      </c>
      <c r="E102" s="166">
        <v>0</v>
      </c>
      <c r="F102" s="166">
        <v>12901</v>
      </c>
      <c r="G102" s="179">
        <v>0</v>
      </c>
      <c r="H102" s="166">
        <v>0</v>
      </c>
      <c r="I102" s="179">
        <v>0</v>
      </c>
      <c r="J102" s="166">
        <v>0</v>
      </c>
      <c r="K102" s="180">
        <v>0</v>
      </c>
      <c r="L102" s="167">
        <v>0</v>
      </c>
      <c r="M102" s="167">
        <v>0</v>
      </c>
      <c r="N102" s="166">
        <v>0</v>
      </c>
      <c r="O102" s="166">
        <v>0</v>
      </c>
      <c r="P102" s="179">
        <v>0</v>
      </c>
      <c r="Q102" s="166">
        <v>10000</v>
      </c>
      <c r="T102" s="160"/>
    </row>
    <row r="103" spans="1:20" s="159" customFormat="1" ht="23.25" customHeight="1">
      <c r="A103" s="819"/>
      <c r="B103" s="822"/>
      <c r="C103" s="169" t="s">
        <v>15</v>
      </c>
      <c r="D103" s="168">
        <f>SUM(E103:Q103)</f>
        <v>2308901</v>
      </c>
      <c r="E103" s="166">
        <f t="shared" ref="E103:Q103" si="24">E101+E102</f>
        <v>0</v>
      </c>
      <c r="F103" s="166">
        <f t="shared" si="24"/>
        <v>118901</v>
      </c>
      <c r="G103" s="166">
        <f t="shared" si="24"/>
        <v>0</v>
      </c>
      <c r="H103" s="166">
        <f t="shared" si="24"/>
        <v>0</v>
      </c>
      <c r="I103" s="166">
        <f t="shared" si="24"/>
        <v>0</v>
      </c>
      <c r="J103" s="166">
        <f t="shared" si="24"/>
        <v>0</v>
      </c>
      <c r="K103" s="166">
        <f t="shared" si="24"/>
        <v>0</v>
      </c>
      <c r="L103" s="166">
        <f t="shared" si="24"/>
        <v>0</v>
      </c>
      <c r="M103" s="166">
        <f t="shared" si="24"/>
        <v>0</v>
      </c>
      <c r="N103" s="166">
        <f t="shared" si="24"/>
        <v>2180000</v>
      </c>
      <c r="O103" s="166">
        <f t="shared" si="24"/>
        <v>0</v>
      </c>
      <c r="P103" s="167">
        <f t="shared" si="24"/>
        <v>0</v>
      </c>
      <c r="Q103" s="166">
        <f t="shared" si="24"/>
        <v>10000</v>
      </c>
      <c r="T103" s="160"/>
    </row>
    <row r="104" spans="1:20" s="192" customFormat="1" ht="5.0999999999999996" customHeight="1">
      <c r="A104" s="198"/>
      <c r="B104" s="197"/>
      <c r="C104" s="164"/>
      <c r="D104" s="177"/>
      <c r="E104" s="196"/>
      <c r="F104" s="176"/>
      <c r="G104" s="176"/>
      <c r="H104" s="194"/>
      <c r="I104" s="176"/>
      <c r="J104" s="176"/>
      <c r="K104" s="195"/>
      <c r="L104" s="176"/>
      <c r="M104" s="176"/>
      <c r="N104" s="176"/>
      <c r="O104" s="176"/>
      <c r="P104" s="176"/>
      <c r="Q104" s="194"/>
      <c r="T104" s="193"/>
    </row>
    <row r="105" spans="1:20" s="199" customFormat="1" ht="18.75" customHeight="1">
      <c r="A105" s="837"/>
      <c r="B105" s="840" t="s">
        <v>435</v>
      </c>
      <c r="C105" s="202" t="s">
        <v>13</v>
      </c>
      <c r="D105" s="201">
        <f>SUM(E105:P105)</f>
        <v>361631757</v>
      </c>
      <c r="E105" s="203">
        <f t="shared" ref="E105:Q105" si="25">E109+E117+E121+E125+E129+E133+E141+E145+E153+E149+E137+E113</f>
        <v>0</v>
      </c>
      <c r="F105" s="203">
        <f t="shared" si="25"/>
        <v>1425215</v>
      </c>
      <c r="G105" s="203">
        <f t="shared" si="25"/>
        <v>303779745</v>
      </c>
      <c r="H105" s="203">
        <f t="shared" si="25"/>
        <v>11069000</v>
      </c>
      <c r="I105" s="203">
        <f t="shared" si="25"/>
        <v>28754973</v>
      </c>
      <c r="J105" s="203">
        <f t="shared" si="25"/>
        <v>12565218</v>
      </c>
      <c r="K105" s="203">
        <f t="shared" si="25"/>
        <v>0</v>
      </c>
      <c r="L105" s="203">
        <f t="shared" si="25"/>
        <v>0</v>
      </c>
      <c r="M105" s="203">
        <f t="shared" si="25"/>
        <v>37500</v>
      </c>
      <c r="N105" s="203">
        <f t="shared" si="25"/>
        <v>762360</v>
      </c>
      <c r="O105" s="203">
        <f t="shared" si="25"/>
        <v>2198902</v>
      </c>
      <c r="P105" s="203">
        <f t="shared" si="25"/>
        <v>1038844</v>
      </c>
      <c r="Q105" s="203">
        <f t="shared" si="25"/>
        <v>0</v>
      </c>
      <c r="T105" s="200"/>
    </row>
    <row r="106" spans="1:20" s="199" customFormat="1" ht="18.75" customHeight="1">
      <c r="A106" s="838"/>
      <c r="B106" s="841"/>
      <c r="C106" s="202" t="s">
        <v>14</v>
      </c>
      <c r="D106" s="201">
        <f>SUM(E106:P106)</f>
        <v>72723607</v>
      </c>
      <c r="E106" s="203">
        <f t="shared" ref="E106:Q106" si="26">E110+E118+E122+E126+E130+E134+E142+E146+E154+E150+E138+E114</f>
        <v>0</v>
      </c>
      <c r="F106" s="203">
        <f t="shared" si="26"/>
        <v>1506531</v>
      </c>
      <c r="G106" s="203">
        <f t="shared" si="26"/>
        <v>61824036</v>
      </c>
      <c r="H106" s="203">
        <f t="shared" si="26"/>
        <v>-8164264</v>
      </c>
      <c r="I106" s="203">
        <f t="shared" si="26"/>
        <v>16911497</v>
      </c>
      <c r="J106" s="203">
        <f t="shared" si="26"/>
        <v>438879</v>
      </c>
      <c r="K106" s="203">
        <f t="shared" si="26"/>
        <v>0</v>
      </c>
      <c r="L106" s="203">
        <f t="shared" si="26"/>
        <v>0</v>
      </c>
      <c r="M106" s="203">
        <f t="shared" si="26"/>
        <v>-12262</v>
      </c>
      <c r="N106" s="203">
        <f t="shared" si="26"/>
        <v>0</v>
      </c>
      <c r="O106" s="203">
        <f t="shared" si="26"/>
        <v>219190</v>
      </c>
      <c r="P106" s="203">
        <f t="shared" si="26"/>
        <v>0</v>
      </c>
      <c r="Q106" s="203">
        <f t="shared" si="26"/>
        <v>0</v>
      </c>
      <c r="T106" s="200"/>
    </row>
    <row r="107" spans="1:20" s="199" customFormat="1" ht="18" customHeight="1">
      <c r="A107" s="839"/>
      <c r="B107" s="842"/>
      <c r="C107" s="202" t="s">
        <v>15</v>
      </c>
      <c r="D107" s="201">
        <f>SUM(E107:P107)</f>
        <v>434355364</v>
      </c>
      <c r="E107" s="201">
        <f t="shared" ref="E107:Q107" si="27">E111+E119+E123+E127+E131+E135+E143+E147+E155+E151+E139+E115</f>
        <v>0</v>
      </c>
      <c r="F107" s="201">
        <f t="shared" si="27"/>
        <v>2931746</v>
      </c>
      <c r="G107" s="201">
        <f t="shared" si="27"/>
        <v>365603781</v>
      </c>
      <c r="H107" s="201">
        <f t="shared" si="27"/>
        <v>2904736</v>
      </c>
      <c r="I107" s="201">
        <f t="shared" si="27"/>
        <v>45666470</v>
      </c>
      <c r="J107" s="201">
        <f t="shared" si="27"/>
        <v>13004097</v>
      </c>
      <c r="K107" s="201">
        <f t="shared" si="27"/>
        <v>0</v>
      </c>
      <c r="L107" s="201">
        <f t="shared" si="27"/>
        <v>0</v>
      </c>
      <c r="M107" s="201">
        <f t="shared" si="27"/>
        <v>25238</v>
      </c>
      <c r="N107" s="201">
        <f t="shared" si="27"/>
        <v>762360</v>
      </c>
      <c r="O107" s="201">
        <f t="shared" si="27"/>
        <v>2418092</v>
      </c>
      <c r="P107" s="201">
        <f t="shared" si="27"/>
        <v>1038844</v>
      </c>
      <c r="Q107" s="201">
        <f t="shared" si="27"/>
        <v>0</v>
      </c>
      <c r="T107" s="200"/>
    </row>
    <row r="108" spans="1:20" s="192" customFormat="1" ht="5.0999999999999996" customHeight="1">
      <c r="A108" s="198"/>
      <c r="B108" s="197"/>
      <c r="C108" s="197"/>
      <c r="D108" s="177"/>
      <c r="E108" s="196"/>
      <c r="F108" s="176"/>
      <c r="G108" s="176"/>
      <c r="H108" s="194"/>
      <c r="I108" s="176"/>
      <c r="J108" s="176"/>
      <c r="K108" s="195"/>
      <c r="L108" s="176"/>
      <c r="M108" s="176"/>
      <c r="N108" s="176"/>
      <c r="O108" s="176"/>
      <c r="P108" s="176"/>
      <c r="Q108" s="194"/>
      <c r="T108" s="193"/>
    </row>
    <row r="109" spans="1:20" s="188" customFormat="1" ht="18" hidden="1" customHeight="1">
      <c r="A109" s="832" t="s">
        <v>16</v>
      </c>
      <c r="B109" s="833" t="s">
        <v>434</v>
      </c>
      <c r="C109" s="169" t="s">
        <v>13</v>
      </c>
      <c r="D109" s="168">
        <f>SUM(E109:Q109)</f>
        <v>0</v>
      </c>
      <c r="E109" s="170">
        <v>0</v>
      </c>
      <c r="F109" s="170">
        <v>0</v>
      </c>
      <c r="G109" s="170">
        <v>0</v>
      </c>
      <c r="H109" s="170">
        <v>0</v>
      </c>
      <c r="I109" s="170">
        <v>0</v>
      </c>
      <c r="J109" s="170">
        <v>0</v>
      </c>
      <c r="K109" s="170">
        <v>0</v>
      </c>
      <c r="L109" s="170">
        <v>0</v>
      </c>
      <c r="M109" s="172">
        <v>0</v>
      </c>
      <c r="N109" s="170">
        <v>0</v>
      </c>
      <c r="O109" s="170">
        <v>0</v>
      </c>
      <c r="P109" s="171">
        <v>0</v>
      </c>
      <c r="Q109" s="170">
        <v>0</v>
      </c>
      <c r="T109" s="189"/>
    </row>
    <row r="110" spans="1:20" s="188" customFormat="1" ht="18" hidden="1" customHeight="1">
      <c r="A110" s="832"/>
      <c r="B110" s="833"/>
      <c r="C110" s="169" t="s">
        <v>14</v>
      </c>
      <c r="D110" s="168">
        <f>SUM(E110:Q110)</f>
        <v>0</v>
      </c>
      <c r="E110" s="166">
        <v>0</v>
      </c>
      <c r="F110" s="166">
        <v>0</v>
      </c>
      <c r="G110" s="179">
        <v>0</v>
      </c>
      <c r="H110" s="166">
        <v>0</v>
      </c>
      <c r="I110" s="179"/>
      <c r="J110" s="166">
        <v>0</v>
      </c>
      <c r="K110" s="180">
        <v>0</v>
      </c>
      <c r="L110" s="167">
        <v>0</v>
      </c>
      <c r="M110" s="167">
        <v>0</v>
      </c>
      <c r="N110" s="166">
        <v>0</v>
      </c>
      <c r="O110" s="166">
        <v>0</v>
      </c>
      <c r="P110" s="179">
        <v>0</v>
      </c>
      <c r="Q110" s="166">
        <v>0</v>
      </c>
      <c r="T110" s="189"/>
    </row>
    <row r="111" spans="1:20" s="188" customFormat="1" ht="18" hidden="1" customHeight="1">
      <c r="A111" s="832"/>
      <c r="B111" s="833"/>
      <c r="C111" s="169" t="s">
        <v>15</v>
      </c>
      <c r="D111" s="168">
        <f>SUM(E111:Q111)</f>
        <v>0</v>
      </c>
      <c r="E111" s="166">
        <f t="shared" ref="E111:Q111" si="28">E109+E110</f>
        <v>0</v>
      </c>
      <c r="F111" s="166">
        <f t="shared" si="28"/>
        <v>0</v>
      </c>
      <c r="G111" s="166">
        <f t="shared" si="28"/>
        <v>0</v>
      </c>
      <c r="H111" s="166">
        <f t="shared" si="28"/>
        <v>0</v>
      </c>
      <c r="I111" s="166">
        <f t="shared" si="28"/>
        <v>0</v>
      </c>
      <c r="J111" s="166">
        <f t="shared" si="28"/>
        <v>0</v>
      </c>
      <c r="K111" s="166">
        <f t="shared" si="28"/>
        <v>0</v>
      </c>
      <c r="L111" s="166">
        <f t="shared" si="28"/>
        <v>0</v>
      </c>
      <c r="M111" s="166">
        <f t="shared" si="28"/>
        <v>0</v>
      </c>
      <c r="N111" s="166">
        <f t="shared" si="28"/>
        <v>0</v>
      </c>
      <c r="O111" s="166">
        <f t="shared" si="28"/>
        <v>0</v>
      </c>
      <c r="P111" s="167">
        <f t="shared" si="28"/>
        <v>0</v>
      </c>
      <c r="Q111" s="166">
        <f t="shared" si="28"/>
        <v>0</v>
      </c>
      <c r="T111" s="189"/>
    </row>
    <row r="112" spans="1:20" s="188" customFormat="1" ht="12.75" hidden="1" customHeight="1">
      <c r="A112" s="191"/>
      <c r="B112" s="190"/>
      <c r="C112" s="787"/>
      <c r="D112" s="787"/>
      <c r="E112" s="787"/>
      <c r="F112" s="787"/>
      <c r="G112" s="787"/>
      <c r="H112" s="787"/>
      <c r="I112" s="787"/>
      <c r="J112" s="787"/>
      <c r="K112" s="787"/>
      <c r="L112" s="787"/>
      <c r="M112" s="787"/>
      <c r="N112" s="787"/>
      <c r="O112" s="787"/>
      <c r="P112" s="787"/>
      <c r="Q112" s="788"/>
      <c r="T112" s="189"/>
    </row>
    <row r="113" spans="1:20" s="188" customFormat="1" ht="18" hidden="1" customHeight="1">
      <c r="A113" s="832" t="s">
        <v>97</v>
      </c>
      <c r="B113" s="833" t="s">
        <v>98</v>
      </c>
      <c r="C113" s="169" t="s">
        <v>13</v>
      </c>
      <c r="D113" s="168">
        <f>SUM(E113:Q113)</f>
        <v>950215</v>
      </c>
      <c r="E113" s="170">
        <v>0</v>
      </c>
      <c r="F113" s="170">
        <v>950215</v>
      </c>
      <c r="G113" s="170">
        <v>0</v>
      </c>
      <c r="H113" s="170">
        <v>0</v>
      </c>
      <c r="I113" s="170">
        <v>0</v>
      </c>
      <c r="J113" s="170">
        <v>0</v>
      </c>
      <c r="K113" s="170">
        <v>0</v>
      </c>
      <c r="L113" s="170">
        <v>0</v>
      </c>
      <c r="M113" s="172">
        <v>0</v>
      </c>
      <c r="N113" s="170">
        <v>0</v>
      </c>
      <c r="O113" s="170">
        <v>0</v>
      </c>
      <c r="P113" s="171">
        <v>0</v>
      </c>
      <c r="Q113" s="170">
        <v>0</v>
      </c>
      <c r="T113" s="189"/>
    </row>
    <row r="114" spans="1:20" s="188" customFormat="1" ht="18" hidden="1" customHeight="1">
      <c r="A114" s="832"/>
      <c r="B114" s="833"/>
      <c r="C114" s="169" t="s">
        <v>14</v>
      </c>
      <c r="D114" s="168">
        <f>SUM(E114:Q114)</f>
        <v>0</v>
      </c>
      <c r="E114" s="166">
        <v>0</v>
      </c>
      <c r="F114" s="166">
        <v>0</v>
      </c>
      <c r="G114" s="179">
        <v>0</v>
      </c>
      <c r="H114" s="166">
        <v>0</v>
      </c>
      <c r="I114" s="179"/>
      <c r="J114" s="166">
        <v>0</v>
      </c>
      <c r="K114" s="180">
        <v>0</v>
      </c>
      <c r="L114" s="167">
        <v>0</v>
      </c>
      <c r="M114" s="167">
        <v>0</v>
      </c>
      <c r="N114" s="166">
        <v>0</v>
      </c>
      <c r="O114" s="166">
        <v>0</v>
      </c>
      <c r="P114" s="179">
        <v>0</v>
      </c>
      <c r="Q114" s="166">
        <v>0</v>
      </c>
      <c r="T114" s="189"/>
    </row>
    <row r="115" spans="1:20" s="188" customFormat="1" ht="18" hidden="1" customHeight="1">
      <c r="A115" s="832"/>
      <c r="B115" s="833"/>
      <c r="C115" s="169" t="s">
        <v>15</v>
      </c>
      <c r="D115" s="168">
        <f>SUM(E115:Q115)</f>
        <v>950215</v>
      </c>
      <c r="E115" s="166">
        <f t="shared" ref="E115:Q115" si="29">E113+E114</f>
        <v>0</v>
      </c>
      <c r="F115" s="166">
        <f t="shared" si="29"/>
        <v>950215</v>
      </c>
      <c r="G115" s="166">
        <f t="shared" si="29"/>
        <v>0</v>
      </c>
      <c r="H115" s="166">
        <f t="shared" si="29"/>
        <v>0</v>
      </c>
      <c r="I115" s="166">
        <f t="shared" si="29"/>
        <v>0</v>
      </c>
      <c r="J115" s="166">
        <f t="shared" si="29"/>
        <v>0</v>
      </c>
      <c r="K115" s="166">
        <f t="shared" si="29"/>
        <v>0</v>
      </c>
      <c r="L115" s="166">
        <f t="shared" si="29"/>
        <v>0</v>
      </c>
      <c r="M115" s="166">
        <f t="shared" si="29"/>
        <v>0</v>
      </c>
      <c r="N115" s="166">
        <f t="shared" si="29"/>
        <v>0</v>
      </c>
      <c r="O115" s="166">
        <f t="shared" si="29"/>
        <v>0</v>
      </c>
      <c r="P115" s="167">
        <f t="shared" si="29"/>
        <v>0</v>
      </c>
      <c r="Q115" s="166">
        <f t="shared" si="29"/>
        <v>0</v>
      </c>
      <c r="T115" s="189"/>
    </row>
    <row r="116" spans="1:20" s="188" customFormat="1" ht="6" hidden="1" customHeight="1">
      <c r="A116" s="834"/>
      <c r="B116" s="835"/>
      <c r="C116" s="835"/>
      <c r="D116" s="835"/>
      <c r="E116" s="835"/>
      <c r="F116" s="835"/>
      <c r="G116" s="835"/>
      <c r="H116" s="835"/>
      <c r="I116" s="835"/>
      <c r="J116" s="835"/>
      <c r="K116" s="835"/>
      <c r="L116" s="835"/>
      <c r="M116" s="835"/>
      <c r="N116" s="835"/>
      <c r="O116" s="835"/>
      <c r="P116" s="835"/>
      <c r="Q116" s="836"/>
      <c r="T116" s="189"/>
    </row>
    <row r="117" spans="1:20" s="188" customFormat="1" ht="18.75" customHeight="1">
      <c r="A117" s="817" t="s">
        <v>19</v>
      </c>
      <c r="B117" s="820" t="s">
        <v>20</v>
      </c>
      <c r="C117" s="169" t="s">
        <v>13</v>
      </c>
      <c r="D117" s="168">
        <f>SUM(E117:Q117)</f>
        <v>15862964</v>
      </c>
      <c r="E117" s="172">
        <v>0</v>
      </c>
      <c r="F117" s="172">
        <v>60000</v>
      </c>
      <c r="G117" s="182">
        <v>0</v>
      </c>
      <c r="H117" s="172">
        <v>0</v>
      </c>
      <c r="I117" s="181">
        <v>0</v>
      </c>
      <c r="J117" s="172">
        <v>12565218</v>
      </c>
      <c r="K117" s="181">
        <v>0</v>
      </c>
      <c r="L117" s="182">
        <v>0</v>
      </c>
      <c r="M117" s="172">
        <v>0</v>
      </c>
      <c r="N117" s="172">
        <v>0</v>
      </c>
      <c r="O117" s="172">
        <v>2198902</v>
      </c>
      <c r="P117" s="181">
        <v>1038844</v>
      </c>
      <c r="Q117" s="172">
        <v>0</v>
      </c>
      <c r="T117" s="189"/>
    </row>
    <row r="118" spans="1:20" s="159" customFormat="1" ht="20.25" customHeight="1">
      <c r="A118" s="818"/>
      <c r="B118" s="821"/>
      <c r="C118" s="169" t="s">
        <v>14</v>
      </c>
      <c r="D118" s="168">
        <f>SUM(E118:Q118)</f>
        <v>504069</v>
      </c>
      <c r="E118" s="166">
        <v>0</v>
      </c>
      <c r="F118" s="166">
        <v>0</v>
      </c>
      <c r="G118" s="179">
        <v>0</v>
      </c>
      <c r="H118" s="166">
        <v>0</v>
      </c>
      <c r="I118" s="179">
        <v>0</v>
      </c>
      <c r="J118" s="166">
        <f>365731+73148</f>
        <v>438879</v>
      </c>
      <c r="K118" s="180">
        <v>0</v>
      </c>
      <c r="L118" s="167">
        <v>0</v>
      </c>
      <c r="M118" s="167">
        <v>0</v>
      </c>
      <c r="N118" s="166">
        <v>0</v>
      </c>
      <c r="O118" s="166">
        <v>65190</v>
      </c>
      <c r="P118" s="179">
        <v>0</v>
      </c>
      <c r="Q118" s="166">
        <v>0</v>
      </c>
      <c r="T118" s="160"/>
    </row>
    <row r="119" spans="1:20" s="159" customFormat="1" ht="20.25" customHeight="1">
      <c r="A119" s="819"/>
      <c r="B119" s="822"/>
      <c r="C119" s="169" t="s">
        <v>15</v>
      </c>
      <c r="D119" s="168">
        <f>SUM(E119:Q119)</f>
        <v>16367033</v>
      </c>
      <c r="E119" s="166">
        <f t="shared" ref="E119:Q119" si="30">E117+E118</f>
        <v>0</v>
      </c>
      <c r="F119" s="166">
        <f t="shared" si="30"/>
        <v>60000</v>
      </c>
      <c r="G119" s="166">
        <f t="shared" si="30"/>
        <v>0</v>
      </c>
      <c r="H119" s="166">
        <f t="shared" si="30"/>
        <v>0</v>
      </c>
      <c r="I119" s="166">
        <f t="shared" si="30"/>
        <v>0</v>
      </c>
      <c r="J119" s="166">
        <f t="shared" si="30"/>
        <v>13004097</v>
      </c>
      <c r="K119" s="166">
        <f t="shared" si="30"/>
        <v>0</v>
      </c>
      <c r="L119" s="166">
        <f t="shared" si="30"/>
        <v>0</v>
      </c>
      <c r="M119" s="166">
        <f t="shared" si="30"/>
        <v>0</v>
      </c>
      <c r="N119" s="166">
        <f t="shared" si="30"/>
        <v>0</v>
      </c>
      <c r="O119" s="166">
        <f t="shared" si="30"/>
        <v>2264092</v>
      </c>
      <c r="P119" s="167">
        <f t="shared" si="30"/>
        <v>1038844</v>
      </c>
      <c r="Q119" s="166">
        <f t="shared" si="30"/>
        <v>0</v>
      </c>
      <c r="T119" s="160"/>
    </row>
    <row r="120" spans="1:20" s="159" customFormat="1" ht="5.0999999999999996" customHeight="1">
      <c r="A120" s="186"/>
      <c r="B120" s="185"/>
      <c r="C120" s="184"/>
      <c r="D120" s="177"/>
      <c r="E120" s="181"/>
      <c r="F120" s="181"/>
      <c r="G120" s="181"/>
      <c r="H120" s="181"/>
      <c r="I120" s="181"/>
      <c r="J120" s="181"/>
      <c r="K120" s="181"/>
      <c r="L120" s="181"/>
      <c r="M120" s="176"/>
      <c r="N120" s="181"/>
      <c r="O120" s="181"/>
      <c r="P120" s="181"/>
      <c r="Q120" s="172"/>
      <c r="T120" s="160"/>
    </row>
    <row r="121" spans="1:20" s="144" customFormat="1" ht="20.25" hidden="1" customHeight="1">
      <c r="A121" s="817" t="s">
        <v>22</v>
      </c>
      <c r="B121" s="829" t="s">
        <v>23</v>
      </c>
      <c r="C121" s="169" t="s">
        <v>13</v>
      </c>
      <c r="D121" s="168">
        <f>SUM(E121:Q121)</f>
        <v>410000</v>
      </c>
      <c r="E121" s="172">
        <v>0</v>
      </c>
      <c r="F121" s="172">
        <v>410000</v>
      </c>
      <c r="G121" s="182">
        <v>0</v>
      </c>
      <c r="H121" s="172">
        <v>0</v>
      </c>
      <c r="I121" s="183">
        <v>0</v>
      </c>
      <c r="J121" s="172">
        <v>0</v>
      </c>
      <c r="K121" s="183">
        <v>0</v>
      </c>
      <c r="L121" s="172">
        <v>0</v>
      </c>
      <c r="M121" s="172">
        <v>0</v>
      </c>
      <c r="N121" s="172">
        <v>0</v>
      </c>
      <c r="O121" s="172">
        <v>0</v>
      </c>
      <c r="P121" s="181">
        <v>0</v>
      </c>
      <c r="Q121" s="172">
        <v>0</v>
      </c>
      <c r="T121" s="187"/>
    </row>
    <row r="122" spans="1:20" s="144" customFormat="1" ht="20.25" hidden="1" customHeight="1">
      <c r="A122" s="818"/>
      <c r="B122" s="830"/>
      <c r="C122" s="169" t="s">
        <v>14</v>
      </c>
      <c r="D122" s="168">
        <f>SUM(E122:Q122)</f>
        <v>0</v>
      </c>
      <c r="E122" s="166">
        <v>0</v>
      </c>
      <c r="F122" s="166">
        <v>0</v>
      </c>
      <c r="G122" s="179">
        <v>0</v>
      </c>
      <c r="H122" s="166">
        <v>0</v>
      </c>
      <c r="I122" s="179">
        <v>0</v>
      </c>
      <c r="J122" s="166">
        <v>0</v>
      </c>
      <c r="K122" s="180">
        <v>0</v>
      </c>
      <c r="L122" s="167">
        <v>0</v>
      </c>
      <c r="M122" s="167">
        <v>0</v>
      </c>
      <c r="N122" s="166">
        <v>0</v>
      </c>
      <c r="O122" s="166">
        <v>0</v>
      </c>
      <c r="P122" s="179">
        <v>0</v>
      </c>
      <c r="Q122" s="166">
        <v>0</v>
      </c>
      <c r="T122" s="187"/>
    </row>
    <row r="123" spans="1:20" s="144" customFormat="1" ht="20.25" hidden="1" customHeight="1">
      <c r="A123" s="819"/>
      <c r="B123" s="831"/>
      <c r="C123" s="169" t="s">
        <v>15</v>
      </c>
      <c r="D123" s="168">
        <f>SUM(E123:Q123)</f>
        <v>410000</v>
      </c>
      <c r="E123" s="166">
        <f t="shared" ref="E123:Q123" si="31">E121+E122</f>
        <v>0</v>
      </c>
      <c r="F123" s="166">
        <f t="shared" si="31"/>
        <v>410000</v>
      </c>
      <c r="G123" s="166">
        <f t="shared" si="31"/>
        <v>0</v>
      </c>
      <c r="H123" s="166">
        <f t="shared" si="31"/>
        <v>0</v>
      </c>
      <c r="I123" s="166">
        <f t="shared" si="31"/>
        <v>0</v>
      </c>
      <c r="J123" s="166">
        <f t="shared" si="31"/>
        <v>0</v>
      </c>
      <c r="K123" s="166">
        <f t="shared" si="31"/>
        <v>0</v>
      </c>
      <c r="L123" s="166">
        <f t="shared" si="31"/>
        <v>0</v>
      </c>
      <c r="M123" s="166">
        <f t="shared" si="31"/>
        <v>0</v>
      </c>
      <c r="N123" s="166">
        <f t="shared" si="31"/>
        <v>0</v>
      </c>
      <c r="O123" s="166">
        <f t="shared" si="31"/>
        <v>0</v>
      </c>
      <c r="P123" s="167">
        <f t="shared" si="31"/>
        <v>0</v>
      </c>
      <c r="Q123" s="166">
        <f t="shared" si="31"/>
        <v>0</v>
      </c>
      <c r="T123" s="187"/>
    </row>
    <row r="124" spans="1:20" s="144" customFormat="1" ht="9" hidden="1" customHeight="1">
      <c r="A124" s="186"/>
      <c r="B124" s="185"/>
      <c r="C124" s="184"/>
      <c r="D124" s="177"/>
      <c r="E124" s="181"/>
      <c r="F124" s="181"/>
      <c r="G124" s="181"/>
      <c r="H124" s="181"/>
      <c r="I124" s="181"/>
      <c r="J124" s="181"/>
      <c r="K124" s="181"/>
      <c r="L124" s="181"/>
      <c r="M124" s="176"/>
      <c r="N124" s="181"/>
      <c r="O124" s="181"/>
      <c r="P124" s="181"/>
      <c r="Q124" s="172"/>
      <c r="T124" s="187"/>
    </row>
    <row r="125" spans="1:20" s="144" customFormat="1" ht="20.25" customHeight="1">
      <c r="A125" s="817" t="s">
        <v>69</v>
      </c>
      <c r="B125" s="820" t="s">
        <v>70</v>
      </c>
      <c r="C125" s="169" t="s">
        <v>13</v>
      </c>
      <c r="D125" s="168">
        <f>SUM(E125:Q125)</f>
        <v>37500</v>
      </c>
      <c r="E125" s="172">
        <v>0</v>
      </c>
      <c r="F125" s="172">
        <v>0</v>
      </c>
      <c r="G125" s="182">
        <v>0</v>
      </c>
      <c r="H125" s="172">
        <v>0</v>
      </c>
      <c r="I125" s="181">
        <v>0</v>
      </c>
      <c r="J125" s="172">
        <v>0</v>
      </c>
      <c r="K125" s="183">
        <v>0</v>
      </c>
      <c r="L125" s="182">
        <v>0</v>
      </c>
      <c r="M125" s="172">
        <v>37500</v>
      </c>
      <c r="N125" s="172">
        <v>0</v>
      </c>
      <c r="O125" s="172">
        <v>0</v>
      </c>
      <c r="P125" s="181">
        <v>0</v>
      </c>
      <c r="Q125" s="172">
        <v>0</v>
      </c>
      <c r="T125" s="187"/>
    </row>
    <row r="126" spans="1:20" s="144" customFormat="1" ht="20.25" customHeight="1">
      <c r="A126" s="818"/>
      <c r="B126" s="821"/>
      <c r="C126" s="169" t="s">
        <v>14</v>
      </c>
      <c r="D126" s="168">
        <f>SUM(E126:Q126)</f>
        <v>-12262</v>
      </c>
      <c r="E126" s="166">
        <v>0</v>
      </c>
      <c r="F126" s="166">
        <v>0</v>
      </c>
      <c r="G126" s="179">
        <v>0</v>
      </c>
      <c r="H126" s="166">
        <v>0</v>
      </c>
      <c r="I126" s="179">
        <v>0</v>
      </c>
      <c r="J126" s="166">
        <v>0</v>
      </c>
      <c r="K126" s="180">
        <v>0</v>
      </c>
      <c r="L126" s="167">
        <v>0</v>
      </c>
      <c r="M126" s="167">
        <f>-16012+3750</f>
        <v>-12262</v>
      </c>
      <c r="N126" s="166">
        <v>0</v>
      </c>
      <c r="O126" s="166">
        <v>0</v>
      </c>
      <c r="P126" s="179">
        <v>0</v>
      </c>
      <c r="Q126" s="166">
        <v>0</v>
      </c>
      <c r="T126" s="187"/>
    </row>
    <row r="127" spans="1:20" s="144" customFormat="1" ht="20.25" customHeight="1">
      <c r="A127" s="819"/>
      <c r="B127" s="822"/>
      <c r="C127" s="169" t="s">
        <v>15</v>
      </c>
      <c r="D127" s="168">
        <f>SUM(E127:Q127)</f>
        <v>25238</v>
      </c>
      <c r="E127" s="166">
        <f t="shared" ref="E127:Q127" si="32">E125+E126</f>
        <v>0</v>
      </c>
      <c r="F127" s="166">
        <f t="shared" si="32"/>
        <v>0</v>
      </c>
      <c r="G127" s="166">
        <f t="shared" si="32"/>
        <v>0</v>
      </c>
      <c r="H127" s="166">
        <f t="shared" si="32"/>
        <v>0</v>
      </c>
      <c r="I127" s="166">
        <f t="shared" si="32"/>
        <v>0</v>
      </c>
      <c r="J127" s="166">
        <f t="shared" si="32"/>
        <v>0</v>
      </c>
      <c r="K127" s="166">
        <f t="shared" si="32"/>
        <v>0</v>
      </c>
      <c r="L127" s="166">
        <f t="shared" si="32"/>
        <v>0</v>
      </c>
      <c r="M127" s="166">
        <f t="shared" si="32"/>
        <v>25238</v>
      </c>
      <c r="N127" s="166">
        <f t="shared" si="32"/>
        <v>0</v>
      </c>
      <c r="O127" s="166">
        <f t="shared" si="32"/>
        <v>0</v>
      </c>
      <c r="P127" s="167">
        <f t="shared" si="32"/>
        <v>0</v>
      </c>
      <c r="Q127" s="166">
        <f t="shared" si="32"/>
        <v>0</v>
      </c>
      <c r="T127" s="187"/>
    </row>
    <row r="128" spans="1:20" s="144" customFormat="1" ht="5.0999999999999996" customHeight="1">
      <c r="A128" s="186"/>
      <c r="B128" s="185"/>
      <c r="C128" s="184"/>
      <c r="D128" s="177"/>
      <c r="E128" s="181"/>
      <c r="F128" s="181"/>
      <c r="G128" s="181"/>
      <c r="H128" s="181"/>
      <c r="I128" s="181"/>
      <c r="J128" s="181"/>
      <c r="K128" s="181"/>
      <c r="L128" s="181"/>
      <c r="M128" s="176"/>
      <c r="N128" s="181"/>
      <c r="O128" s="181"/>
      <c r="P128" s="181"/>
      <c r="Q128" s="172"/>
      <c r="T128" s="187"/>
    </row>
    <row r="129" spans="1:20" s="159" customFormat="1" ht="20.25" hidden="1" customHeight="1">
      <c r="A129" s="817" t="s">
        <v>28</v>
      </c>
      <c r="B129" s="820" t="s">
        <v>29</v>
      </c>
      <c r="C129" s="169" t="s">
        <v>13</v>
      </c>
      <c r="D129" s="168">
        <f>SUM(E129:Q129)</f>
        <v>0</v>
      </c>
      <c r="E129" s="172">
        <v>0</v>
      </c>
      <c r="F129" s="172">
        <v>0</v>
      </c>
      <c r="G129" s="182">
        <v>0</v>
      </c>
      <c r="H129" s="172">
        <v>0</v>
      </c>
      <c r="I129" s="183">
        <v>0</v>
      </c>
      <c r="J129" s="172">
        <v>0</v>
      </c>
      <c r="K129" s="183">
        <v>0</v>
      </c>
      <c r="L129" s="172">
        <v>0</v>
      </c>
      <c r="M129" s="172">
        <v>0</v>
      </c>
      <c r="N129" s="172">
        <v>0</v>
      </c>
      <c r="O129" s="172">
        <v>0</v>
      </c>
      <c r="P129" s="181">
        <v>0</v>
      </c>
      <c r="Q129" s="172">
        <v>0</v>
      </c>
      <c r="T129" s="160"/>
    </row>
    <row r="130" spans="1:20" s="159" customFormat="1" ht="20.25" hidden="1" customHeight="1">
      <c r="A130" s="818"/>
      <c r="B130" s="821"/>
      <c r="C130" s="169" t="s">
        <v>14</v>
      </c>
      <c r="D130" s="168">
        <f>SUM(E130:Q130)</f>
        <v>0</v>
      </c>
      <c r="E130" s="166">
        <v>0</v>
      </c>
      <c r="F130" s="166">
        <v>0</v>
      </c>
      <c r="G130" s="179">
        <v>0</v>
      </c>
      <c r="H130" s="166">
        <v>0</v>
      </c>
      <c r="I130" s="179">
        <v>0</v>
      </c>
      <c r="J130" s="166">
        <v>0</v>
      </c>
      <c r="K130" s="180">
        <v>0</v>
      </c>
      <c r="L130" s="167">
        <v>0</v>
      </c>
      <c r="M130" s="167">
        <v>0</v>
      </c>
      <c r="N130" s="166">
        <v>0</v>
      </c>
      <c r="O130" s="166">
        <v>0</v>
      </c>
      <c r="P130" s="179">
        <v>0</v>
      </c>
      <c r="Q130" s="166">
        <v>0</v>
      </c>
      <c r="T130" s="160"/>
    </row>
    <row r="131" spans="1:20" s="159" customFormat="1" ht="20.25" hidden="1" customHeight="1">
      <c r="A131" s="819"/>
      <c r="B131" s="822"/>
      <c r="C131" s="169" t="s">
        <v>15</v>
      </c>
      <c r="D131" s="168">
        <f>SUM(E131:Q131)</f>
        <v>0</v>
      </c>
      <c r="E131" s="166">
        <f t="shared" ref="E131:Q131" si="33">E129+E130</f>
        <v>0</v>
      </c>
      <c r="F131" s="166">
        <f t="shared" si="33"/>
        <v>0</v>
      </c>
      <c r="G131" s="166">
        <f t="shared" si="33"/>
        <v>0</v>
      </c>
      <c r="H131" s="166">
        <f t="shared" si="33"/>
        <v>0</v>
      </c>
      <c r="I131" s="166">
        <f t="shared" si="33"/>
        <v>0</v>
      </c>
      <c r="J131" s="166">
        <f t="shared" si="33"/>
        <v>0</v>
      </c>
      <c r="K131" s="166">
        <f t="shared" si="33"/>
        <v>0</v>
      </c>
      <c r="L131" s="166">
        <f t="shared" si="33"/>
        <v>0</v>
      </c>
      <c r="M131" s="166">
        <f t="shared" si="33"/>
        <v>0</v>
      </c>
      <c r="N131" s="166">
        <f t="shared" si="33"/>
        <v>0</v>
      </c>
      <c r="O131" s="166">
        <f t="shared" si="33"/>
        <v>0</v>
      </c>
      <c r="P131" s="167">
        <f t="shared" si="33"/>
        <v>0</v>
      </c>
      <c r="Q131" s="166">
        <f t="shared" si="33"/>
        <v>0</v>
      </c>
      <c r="T131" s="160"/>
    </row>
    <row r="132" spans="1:20" s="159" customFormat="1" ht="20.25" hidden="1" customHeight="1">
      <c r="A132" s="186"/>
      <c r="B132" s="185"/>
      <c r="C132" s="184"/>
      <c r="D132" s="177"/>
      <c r="E132" s="181"/>
      <c r="F132" s="181"/>
      <c r="G132" s="181"/>
      <c r="H132" s="181"/>
      <c r="I132" s="181"/>
      <c r="J132" s="181"/>
      <c r="K132" s="181"/>
      <c r="L132" s="181"/>
      <c r="M132" s="176"/>
      <c r="N132" s="181"/>
      <c r="O132" s="181"/>
      <c r="P132" s="181"/>
      <c r="Q132" s="172"/>
      <c r="T132" s="160"/>
    </row>
    <row r="133" spans="1:20" s="159" customFormat="1" ht="19.5" customHeight="1">
      <c r="A133" s="817" t="s">
        <v>134</v>
      </c>
      <c r="B133" s="820" t="s">
        <v>135</v>
      </c>
      <c r="C133" s="169" t="s">
        <v>13</v>
      </c>
      <c r="D133" s="168">
        <f>SUM(E133:Q133)</f>
        <v>334643539</v>
      </c>
      <c r="E133" s="172">
        <v>0</v>
      </c>
      <c r="F133" s="172">
        <v>0</v>
      </c>
      <c r="G133" s="172">
        <v>294819566</v>
      </c>
      <c r="H133" s="182">
        <v>11069000</v>
      </c>
      <c r="I133" s="172">
        <v>28754973</v>
      </c>
      <c r="J133" s="172">
        <v>0</v>
      </c>
      <c r="K133" s="183">
        <v>0</v>
      </c>
      <c r="L133" s="182">
        <v>0</v>
      </c>
      <c r="M133" s="172">
        <v>0</v>
      </c>
      <c r="N133" s="172">
        <v>0</v>
      </c>
      <c r="O133" s="172">
        <v>0</v>
      </c>
      <c r="P133" s="182">
        <v>0</v>
      </c>
      <c r="Q133" s="172">
        <v>0</v>
      </c>
      <c r="T133" s="160"/>
    </row>
    <row r="134" spans="1:20" s="159" customFormat="1" ht="19.5" customHeight="1">
      <c r="A134" s="818"/>
      <c r="B134" s="821"/>
      <c r="C134" s="169" t="s">
        <v>14</v>
      </c>
      <c r="D134" s="168">
        <f>SUM(E134:Q134)</f>
        <v>70571269</v>
      </c>
      <c r="E134" s="166">
        <v>0</v>
      </c>
      <c r="F134" s="166">
        <v>0</v>
      </c>
      <c r="G134" s="179">
        <f>49690425+11241109+1384607-492105</f>
        <v>61824036</v>
      </c>
      <c r="H134" s="166">
        <v>-8164264</v>
      </c>
      <c r="I134" s="179">
        <f>17263219-456720+162893-57895</f>
        <v>16911497</v>
      </c>
      <c r="J134" s="166">
        <v>0</v>
      </c>
      <c r="K134" s="180">
        <v>0</v>
      </c>
      <c r="L134" s="167">
        <v>0</v>
      </c>
      <c r="M134" s="167">
        <v>0</v>
      </c>
      <c r="N134" s="166">
        <v>0</v>
      </c>
      <c r="O134" s="166">
        <v>0</v>
      </c>
      <c r="P134" s="179">
        <v>0</v>
      </c>
      <c r="Q134" s="166">
        <v>0</v>
      </c>
      <c r="T134" s="160"/>
    </row>
    <row r="135" spans="1:20" s="159" customFormat="1" ht="19.5" customHeight="1">
      <c r="A135" s="819"/>
      <c r="B135" s="822"/>
      <c r="C135" s="169" t="s">
        <v>15</v>
      </c>
      <c r="D135" s="168">
        <f>SUM(E135:Q135)</f>
        <v>405214808</v>
      </c>
      <c r="E135" s="166">
        <f t="shared" ref="E135:Q135" si="34">E133+E134</f>
        <v>0</v>
      </c>
      <c r="F135" s="166">
        <f t="shared" si="34"/>
        <v>0</v>
      </c>
      <c r="G135" s="166">
        <f t="shared" si="34"/>
        <v>356643602</v>
      </c>
      <c r="H135" s="166">
        <f t="shared" si="34"/>
        <v>2904736</v>
      </c>
      <c r="I135" s="166">
        <f t="shared" si="34"/>
        <v>45666470</v>
      </c>
      <c r="J135" s="166">
        <f t="shared" si="34"/>
        <v>0</v>
      </c>
      <c r="K135" s="166">
        <f t="shared" si="34"/>
        <v>0</v>
      </c>
      <c r="L135" s="166">
        <f t="shared" si="34"/>
        <v>0</v>
      </c>
      <c r="M135" s="166">
        <f t="shared" si="34"/>
        <v>0</v>
      </c>
      <c r="N135" s="166">
        <f t="shared" si="34"/>
        <v>0</v>
      </c>
      <c r="O135" s="166">
        <f t="shared" si="34"/>
        <v>0</v>
      </c>
      <c r="P135" s="167">
        <f t="shared" si="34"/>
        <v>0</v>
      </c>
      <c r="Q135" s="166">
        <f t="shared" si="34"/>
        <v>0</v>
      </c>
      <c r="T135" s="160"/>
    </row>
    <row r="136" spans="1:20" s="159" customFormat="1" ht="5.0999999999999996" customHeight="1">
      <c r="A136" s="186"/>
      <c r="B136" s="185"/>
      <c r="C136" s="184"/>
      <c r="D136" s="177"/>
      <c r="E136" s="181"/>
      <c r="F136" s="181"/>
      <c r="G136" s="181"/>
      <c r="H136" s="181"/>
      <c r="I136" s="181"/>
      <c r="J136" s="181"/>
      <c r="K136" s="181"/>
      <c r="L136" s="181"/>
      <c r="M136" s="176"/>
      <c r="N136" s="181"/>
      <c r="O136" s="181"/>
      <c r="P136" s="181"/>
      <c r="Q136" s="172"/>
      <c r="T136" s="160"/>
    </row>
    <row r="137" spans="1:20" s="159" customFormat="1" ht="17.25" hidden="1" customHeight="1">
      <c r="A137" s="817" t="s">
        <v>34</v>
      </c>
      <c r="B137" s="820" t="s">
        <v>35</v>
      </c>
      <c r="C137" s="169" t="s">
        <v>13</v>
      </c>
      <c r="D137" s="168">
        <f>SUM(E137:Q137)</f>
        <v>762360</v>
      </c>
      <c r="E137" s="172">
        <v>0</v>
      </c>
      <c r="F137" s="172">
        <v>0</v>
      </c>
      <c r="G137" s="172">
        <v>0</v>
      </c>
      <c r="H137" s="182">
        <v>0</v>
      </c>
      <c r="I137" s="172">
        <v>0</v>
      </c>
      <c r="J137" s="172">
        <v>0</v>
      </c>
      <c r="K137" s="183">
        <v>0</v>
      </c>
      <c r="L137" s="182">
        <v>0</v>
      </c>
      <c r="M137" s="172">
        <v>0</v>
      </c>
      <c r="N137" s="172">
        <v>762360</v>
      </c>
      <c r="O137" s="172">
        <v>0</v>
      </c>
      <c r="P137" s="182">
        <v>0</v>
      </c>
      <c r="Q137" s="172">
        <v>0</v>
      </c>
      <c r="T137" s="160"/>
    </row>
    <row r="138" spans="1:20" s="159" customFormat="1" ht="17.25" hidden="1" customHeight="1">
      <c r="A138" s="818"/>
      <c r="B138" s="821"/>
      <c r="C138" s="169" t="s">
        <v>14</v>
      </c>
      <c r="D138" s="168">
        <f>SUM(E138:Q138)</f>
        <v>0</v>
      </c>
      <c r="E138" s="166">
        <v>0</v>
      </c>
      <c r="F138" s="166">
        <v>0</v>
      </c>
      <c r="G138" s="179">
        <v>0</v>
      </c>
      <c r="H138" s="166">
        <v>0</v>
      </c>
      <c r="I138" s="179">
        <v>0</v>
      </c>
      <c r="J138" s="166">
        <v>0</v>
      </c>
      <c r="K138" s="180">
        <v>0</v>
      </c>
      <c r="L138" s="167">
        <v>0</v>
      </c>
      <c r="M138" s="167">
        <v>0</v>
      </c>
      <c r="N138" s="166">
        <v>0</v>
      </c>
      <c r="O138" s="166">
        <v>0</v>
      </c>
      <c r="P138" s="179">
        <v>0</v>
      </c>
      <c r="Q138" s="166">
        <v>0</v>
      </c>
      <c r="T138" s="160"/>
    </row>
    <row r="139" spans="1:20" s="159" customFormat="1" ht="17.25" hidden="1" customHeight="1">
      <c r="A139" s="819"/>
      <c r="B139" s="822"/>
      <c r="C139" s="169" t="s">
        <v>15</v>
      </c>
      <c r="D139" s="168">
        <f>SUM(E139:Q139)</f>
        <v>762360</v>
      </c>
      <c r="E139" s="166">
        <f t="shared" ref="E139:Q139" si="35">E137+E138</f>
        <v>0</v>
      </c>
      <c r="F139" s="166">
        <f t="shared" si="35"/>
        <v>0</v>
      </c>
      <c r="G139" s="166">
        <f t="shared" si="35"/>
        <v>0</v>
      </c>
      <c r="H139" s="166">
        <f t="shared" si="35"/>
        <v>0</v>
      </c>
      <c r="I139" s="166">
        <f t="shared" si="35"/>
        <v>0</v>
      </c>
      <c r="J139" s="166">
        <f t="shared" si="35"/>
        <v>0</v>
      </c>
      <c r="K139" s="166">
        <f t="shared" si="35"/>
        <v>0</v>
      </c>
      <c r="L139" s="166">
        <f t="shared" si="35"/>
        <v>0</v>
      </c>
      <c r="M139" s="166">
        <f t="shared" si="35"/>
        <v>0</v>
      </c>
      <c r="N139" s="166">
        <f t="shared" si="35"/>
        <v>762360</v>
      </c>
      <c r="O139" s="166">
        <f t="shared" si="35"/>
        <v>0</v>
      </c>
      <c r="P139" s="167">
        <f t="shared" si="35"/>
        <v>0</v>
      </c>
      <c r="Q139" s="166">
        <f t="shared" si="35"/>
        <v>0</v>
      </c>
      <c r="T139" s="160"/>
    </row>
    <row r="140" spans="1:20" s="159" customFormat="1" ht="5.0999999999999996" hidden="1" customHeight="1">
      <c r="A140" s="165"/>
      <c r="B140" s="164"/>
      <c r="C140" s="184"/>
      <c r="D140" s="177"/>
      <c r="E140" s="181"/>
      <c r="F140" s="181"/>
      <c r="G140" s="181"/>
      <c r="H140" s="181"/>
      <c r="I140" s="181"/>
      <c r="J140" s="181"/>
      <c r="K140" s="181"/>
      <c r="L140" s="181"/>
      <c r="M140" s="176"/>
      <c r="N140" s="181"/>
      <c r="O140" s="181"/>
      <c r="P140" s="181"/>
      <c r="Q140" s="172"/>
      <c r="T140" s="160"/>
    </row>
    <row r="141" spans="1:20" s="159" customFormat="1" ht="20.25" hidden="1" customHeight="1">
      <c r="A141" s="817" t="s">
        <v>417</v>
      </c>
      <c r="B141" s="820" t="s">
        <v>433</v>
      </c>
      <c r="C141" s="169" t="s">
        <v>13</v>
      </c>
      <c r="D141" s="168">
        <f>SUM(E141:Q141)</f>
        <v>5000</v>
      </c>
      <c r="E141" s="172">
        <v>0</v>
      </c>
      <c r="F141" s="172">
        <v>5000</v>
      </c>
      <c r="G141" s="182">
        <v>0</v>
      </c>
      <c r="H141" s="172">
        <v>0</v>
      </c>
      <c r="I141" s="181">
        <v>0</v>
      </c>
      <c r="J141" s="172">
        <v>0</v>
      </c>
      <c r="K141" s="183">
        <v>0</v>
      </c>
      <c r="L141" s="182">
        <v>0</v>
      </c>
      <c r="M141" s="172">
        <v>0</v>
      </c>
      <c r="N141" s="172">
        <v>0</v>
      </c>
      <c r="O141" s="172">
        <v>0</v>
      </c>
      <c r="P141" s="181">
        <v>0</v>
      </c>
      <c r="Q141" s="172">
        <v>0</v>
      </c>
      <c r="T141" s="160"/>
    </row>
    <row r="142" spans="1:20" s="159" customFormat="1" ht="20.25" hidden="1" customHeight="1">
      <c r="A142" s="818"/>
      <c r="B142" s="821"/>
      <c r="C142" s="169" t="s">
        <v>14</v>
      </c>
      <c r="D142" s="168">
        <f>SUM(E142:Q142)</f>
        <v>0</v>
      </c>
      <c r="E142" s="166">
        <v>0</v>
      </c>
      <c r="F142" s="166">
        <v>0</v>
      </c>
      <c r="G142" s="179">
        <v>0</v>
      </c>
      <c r="H142" s="166">
        <v>0</v>
      </c>
      <c r="I142" s="179">
        <v>0</v>
      </c>
      <c r="J142" s="170">
        <v>0</v>
      </c>
      <c r="K142" s="180">
        <v>0</v>
      </c>
      <c r="L142" s="167">
        <v>0</v>
      </c>
      <c r="M142" s="167">
        <v>0</v>
      </c>
      <c r="N142" s="166">
        <v>0</v>
      </c>
      <c r="O142" s="166">
        <v>0</v>
      </c>
      <c r="P142" s="179">
        <v>0</v>
      </c>
      <c r="Q142" s="166">
        <v>0</v>
      </c>
      <c r="T142" s="160"/>
    </row>
    <row r="143" spans="1:20" s="159" customFormat="1" ht="20.25" hidden="1" customHeight="1">
      <c r="A143" s="819"/>
      <c r="B143" s="822"/>
      <c r="C143" s="169" t="s">
        <v>15</v>
      </c>
      <c r="D143" s="168">
        <f>SUM(E143:Q143)</f>
        <v>5000</v>
      </c>
      <c r="E143" s="166">
        <f t="shared" ref="E143:Q143" si="36">E141+E142</f>
        <v>0</v>
      </c>
      <c r="F143" s="166">
        <f t="shared" si="36"/>
        <v>5000</v>
      </c>
      <c r="G143" s="166">
        <f t="shared" si="36"/>
        <v>0</v>
      </c>
      <c r="H143" s="166">
        <f t="shared" si="36"/>
        <v>0</v>
      </c>
      <c r="I143" s="166">
        <f t="shared" si="36"/>
        <v>0</v>
      </c>
      <c r="J143" s="166">
        <f t="shared" si="36"/>
        <v>0</v>
      </c>
      <c r="K143" s="166">
        <f t="shared" si="36"/>
        <v>0</v>
      </c>
      <c r="L143" s="166">
        <f t="shared" si="36"/>
        <v>0</v>
      </c>
      <c r="M143" s="166">
        <f t="shared" si="36"/>
        <v>0</v>
      </c>
      <c r="N143" s="166">
        <f t="shared" si="36"/>
        <v>0</v>
      </c>
      <c r="O143" s="166">
        <f t="shared" si="36"/>
        <v>0</v>
      </c>
      <c r="P143" s="167">
        <f t="shared" si="36"/>
        <v>0</v>
      </c>
      <c r="Q143" s="166">
        <f t="shared" si="36"/>
        <v>0</v>
      </c>
      <c r="T143" s="160"/>
    </row>
    <row r="144" spans="1:20" s="159" customFormat="1" ht="20.25" hidden="1" customHeight="1">
      <c r="A144" s="186"/>
      <c r="B144" s="185"/>
      <c r="C144" s="184"/>
      <c r="D144" s="177"/>
      <c r="E144" s="181"/>
      <c r="F144" s="181"/>
      <c r="G144" s="181"/>
      <c r="H144" s="181"/>
      <c r="I144" s="181"/>
      <c r="J144" s="181"/>
      <c r="K144" s="181"/>
      <c r="L144" s="181"/>
      <c r="M144" s="176"/>
      <c r="N144" s="181"/>
      <c r="O144" s="181"/>
      <c r="P144" s="181"/>
      <c r="Q144" s="172"/>
      <c r="T144" s="160"/>
    </row>
    <row r="145" spans="1:20" s="159" customFormat="1" ht="20.25" hidden="1" customHeight="1">
      <c r="A145" s="817" t="s">
        <v>418</v>
      </c>
      <c r="B145" s="820" t="s">
        <v>38</v>
      </c>
      <c r="C145" s="169" t="s">
        <v>13</v>
      </c>
      <c r="D145" s="168">
        <f>SUM(E145:Q145)</f>
        <v>0</v>
      </c>
      <c r="E145" s="172">
        <v>0</v>
      </c>
      <c r="F145" s="172">
        <v>0</v>
      </c>
      <c r="G145" s="182">
        <v>0</v>
      </c>
      <c r="H145" s="172">
        <v>0</v>
      </c>
      <c r="I145" s="181">
        <v>0</v>
      </c>
      <c r="J145" s="172">
        <v>0</v>
      </c>
      <c r="K145" s="183">
        <v>0</v>
      </c>
      <c r="L145" s="182">
        <v>0</v>
      </c>
      <c r="M145" s="172">
        <v>0</v>
      </c>
      <c r="N145" s="172">
        <v>0</v>
      </c>
      <c r="O145" s="172">
        <v>0</v>
      </c>
      <c r="P145" s="181">
        <v>0</v>
      </c>
      <c r="Q145" s="172">
        <v>0</v>
      </c>
      <c r="T145" s="160"/>
    </row>
    <row r="146" spans="1:20" s="159" customFormat="1" ht="20.25" hidden="1" customHeight="1">
      <c r="A146" s="818"/>
      <c r="B146" s="821"/>
      <c r="C146" s="169" t="s">
        <v>14</v>
      </c>
      <c r="D146" s="168">
        <f>SUM(E146:Q146)</f>
        <v>0</v>
      </c>
      <c r="E146" s="166">
        <v>0</v>
      </c>
      <c r="F146" s="166">
        <v>0</v>
      </c>
      <c r="G146" s="179">
        <v>0</v>
      </c>
      <c r="H146" s="166">
        <v>0</v>
      </c>
      <c r="I146" s="179">
        <v>0</v>
      </c>
      <c r="J146" s="166">
        <v>0</v>
      </c>
      <c r="K146" s="180">
        <v>0</v>
      </c>
      <c r="L146" s="167">
        <v>0</v>
      </c>
      <c r="M146" s="167">
        <v>0</v>
      </c>
      <c r="N146" s="166">
        <v>0</v>
      </c>
      <c r="O146" s="166">
        <v>0</v>
      </c>
      <c r="P146" s="179">
        <v>0</v>
      </c>
      <c r="Q146" s="166">
        <v>0</v>
      </c>
      <c r="T146" s="160"/>
    </row>
    <row r="147" spans="1:20" s="159" customFormat="1" ht="20.25" hidden="1" customHeight="1">
      <c r="A147" s="818"/>
      <c r="B147" s="821"/>
      <c r="C147" s="169" t="s">
        <v>15</v>
      </c>
      <c r="D147" s="168">
        <f>SUM(E147:Q147)</f>
        <v>0</v>
      </c>
      <c r="E147" s="166">
        <f t="shared" ref="E147:Q147" si="37">E145+E146</f>
        <v>0</v>
      </c>
      <c r="F147" s="166">
        <f t="shared" si="37"/>
        <v>0</v>
      </c>
      <c r="G147" s="166">
        <f t="shared" si="37"/>
        <v>0</v>
      </c>
      <c r="H147" s="166">
        <f t="shared" si="37"/>
        <v>0</v>
      </c>
      <c r="I147" s="166">
        <f t="shared" si="37"/>
        <v>0</v>
      </c>
      <c r="J147" s="166">
        <f t="shared" si="37"/>
        <v>0</v>
      </c>
      <c r="K147" s="166">
        <f t="shared" si="37"/>
        <v>0</v>
      </c>
      <c r="L147" s="166">
        <f t="shared" si="37"/>
        <v>0</v>
      </c>
      <c r="M147" s="166">
        <f t="shared" si="37"/>
        <v>0</v>
      </c>
      <c r="N147" s="166">
        <f t="shared" si="37"/>
        <v>0</v>
      </c>
      <c r="O147" s="166">
        <f t="shared" si="37"/>
        <v>0</v>
      </c>
      <c r="P147" s="167">
        <f t="shared" si="37"/>
        <v>0</v>
      </c>
      <c r="Q147" s="166">
        <f t="shared" si="37"/>
        <v>0</v>
      </c>
      <c r="T147" s="160"/>
    </row>
    <row r="148" spans="1:20" s="159" customFormat="1" ht="10.5" hidden="1" customHeight="1">
      <c r="A148" s="186"/>
      <c r="B148" s="185"/>
      <c r="C148" s="184"/>
      <c r="D148" s="177"/>
      <c r="E148" s="181"/>
      <c r="F148" s="181"/>
      <c r="G148" s="181"/>
      <c r="H148" s="181"/>
      <c r="I148" s="181"/>
      <c r="J148" s="181"/>
      <c r="K148" s="181"/>
      <c r="L148" s="181"/>
      <c r="M148" s="176"/>
      <c r="N148" s="181"/>
      <c r="O148" s="181"/>
      <c r="P148" s="181"/>
      <c r="Q148" s="172"/>
      <c r="T148" s="160"/>
    </row>
    <row r="149" spans="1:20" s="159" customFormat="1" ht="20.25" customHeight="1">
      <c r="A149" s="817" t="s">
        <v>271</v>
      </c>
      <c r="B149" s="820" t="s">
        <v>39</v>
      </c>
      <c r="C149" s="169" t="s">
        <v>13</v>
      </c>
      <c r="D149" s="168">
        <f>SUM(E149:Q149)</f>
        <v>8960179</v>
      </c>
      <c r="E149" s="172">
        <v>0</v>
      </c>
      <c r="F149" s="172">
        <v>0</v>
      </c>
      <c r="G149" s="182">
        <v>8960179</v>
      </c>
      <c r="H149" s="172">
        <v>0</v>
      </c>
      <c r="I149" s="181">
        <v>0</v>
      </c>
      <c r="J149" s="172">
        <v>0</v>
      </c>
      <c r="K149" s="183">
        <v>0</v>
      </c>
      <c r="L149" s="182">
        <v>0</v>
      </c>
      <c r="M149" s="172">
        <v>0</v>
      </c>
      <c r="N149" s="172">
        <v>0</v>
      </c>
      <c r="O149" s="172">
        <v>0</v>
      </c>
      <c r="P149" s="181">
        <v>0</v>
      </c>
      <c r="Q149" s="172">
        <v>0</v>
      </c>
      <c r="T149" s="160"/>
    </row>
    <row r="150" spans="1:20" s="159" customFormat="1" ht="20.25" customHeight="1">
      <c r="A150" s="818"/>
      <c r="B150" s="821"/>
      <c r="C150" s="169" t="s">
        <v>14</v>
      </c>
      <c r="D150" s="168">
        <f>SUM(E150:Q150)</f>
        <v>1660531</v>
      </c>
      <c r="E150" s="166">
        <v>0</v>
      </c>
      <c r="F150" s="166">
        <v>1506531</v>
      </c>
      <c r="G150" s="179">
        <v>0</v>
      </c>
      <c r="H150" s="166">
        <v>0</v>
      </c>
      <c r="I150" s="179">
        <v>0</v>
      </c>
      <c r="J150" s="166">
        <v>0</v>
      </c>
      <c r="K150" s="180">
        <v>0</v>
      </c>
      <c r="L150" s="167">
        <v>0</v>
      </c>
      <c r="M150" s="167">
        <v>0</v>
      </c>
      <c r="N150" s="166">
        <v>0</v>
      </c>
      <c r="O150" s="166">
        <v>154000</v>
      </c>
      <c r="P150" s="179">
        <v>0</v>
      </c>
      <c r="Q150" s="166">
        <v>0</v>
      </c>
      <c r="T150" s="160"/>
    </row>
    <row r="151" spans="1:20" s="159" customFormat="1" ht="20.25" customHeight="1">
      <c r="A151" s="819"/>
      <c r="B151" s="822"/>
      <c r="C151" s="169" t="s">
        <v>15</v>
      </c>
      <c r="D151" s="168">
        <f>SUM(E151:Q151)</f>
        <v>10620710</v>
      </c>
      <c r="E151" s="166">
        <f t="shared" ref="E151:Q151" si="38">E149+E150</f>
        <v>0</v>
      </c>
      <c r="F151" s="166">
        <f t="shared" si="38"/>
        <v>1506531</v>
      </c>
      <c r="G151" s="166">
        <f t="shared" si="38"/>
        <v>8960179</v>
      </c>
      <c r="H151" s="166">
        <f t="shared" si="38"/>
        <v>0</v>
      </c>
      <c r="I151" s="166">
        <f t="shared" si="38"/>
        <v>0</v>
      </c>
      <c r="J151" s="166">
        <f t="shared" si="38"/>
        <v>0</v>
      </c>
      <c r="K151" s="166">
        <f t="shared" si="38"/>
        <v>0</v>
      </c>
      <c r="L151" s="166">
        <f t="shared" si="38"/>
        <v>0</v>
      </c>
      <c r="M151" s="166">
        <f t="shared" si="38"/>
        <v>0</v>
      </c>
      <c r="N151" s="166">
        <f t="shared" si="38"/>
        <v>0</v>
      </c>
      <c r="O151" s="166">
        <f t="shared" si="38"/>
        <v>154000</v>
      </c>
      <c r="P151" s="167">
        <f t="shared" si="38"/>
        <v>0</v>
      </c>
      <c r="Q151" s="166">
        <f t="shared" si="38"/>
        <v>0</v>
      </c>
      <c r="T151" s="160"/>
    </row>
    <row r="152" spans="1:20" s="159" customFormat="1" ht="5.0999999999999996" customHeight="1">
      <c r="A152" s="165"/>
      <c r="B152" s="164"/>
      <c r="C152" s="178"/>
      <c r="D152" s="177"/>
      <c r="E152" s="148"/>
      <c r="F152" s="148"/>
      <c r="G152" s="148"/>
      <c r="H152" s="148"/>
      <c r="I152" s="148"/>
      <c r="J152" s="148"/>
      <c r="K152" s="148"/>
      <c r="L152" s="148"/>
      <c r="M152" s="176"/>
      <c r="N152" s="148"/>
      <c r="O152" s="148"/>
      <c r="P152" s="148"/>
      <c r="Q152" s="175"/>
      <c r="T152" s="160"/>
    </row>
    <row r="153" spans="1:20" s="159" customFormat="1" ht="27" hidden="1" customHeight="1">
      <c r="A153" s="817" t="s">
        <v>422</v>
      </c>
      <c r="B153" s="820" t="s">
        <v>40</v>
      </c>
      <c r="C153" s="169" t="s">
        <v>13</v>
      </c>
      <c r="D153" s="168">
        <f>SUM(E153:Q153)</f>
        <v>0</v>
      </c>
      <c r="E153" s="161">
        <v>0</v>
      </c>
      <c r="F153" s="161">
        <v>0</v>
      </c>
      <c r="G153" s="173">
        <v>0</v>
      </c>
      <c r="H153" s="161">
        <v>0</v>
      </c>
      <c r="I153" s="162">
        <v>0</v>
      </c>
      <c r="J153" s="161">
        <v>0</v>
      </c>
      <c r="K153" s="174">
        <v>0</v>
      </c>
      <c r="L153" s="173">
        <v>0</v>
      </c>
      <c r="M153" s="172">
        <v>0</v>
      </c>
      <c r="N153" s="161">
        <v>0</v>
      </c>
      <c r="O153" s="161">
        <v>0</v>
      </c>
      <c r="P153" s="162">
        <v>0</v>
      </c>
      <c r="Q153" s="161">
        <v>0</v>
      </c>
      <c r="T153" s="160"/>
    </row>
    <row r="154" spans="1:20" s="159" customFormat="1" ht="27" hidden="1" customHeight="1">
      <c r="A154" s="818"/>
      <c r="B154" s="821"/>
      <c r="C154" s="169" t="s">
        <v>14</v>
      </c>
      <c r="D154" s="168">
        <f>SUM(E154:Q154)</f>
        <v>0</v>
      </c>
      <c r="E154" s="170">
        <v>0</v>
      </c>
      <c r="F154" s="170">
        <v>0</v>
      </c>
      <c r="G154" s="170">
        <v>0</v>
      </c>
      <c r="H154" s="170">
        <v>0</v>
      </c>
      <c r="I154" s="170">
        <v>0</v>
      </c>
      <c r="J154" s="170">
        <v>0</v>
      </c>
      <c r="K154" s="170">
        <v>0</v>
      </c>
      <c r="L154" s="170">
        <v>0</v>
      </c>
      <c r="M154" s="167">
        <v>0</v>
      </c>
      <c r="N154" s="170">
        <v>0</v>
      </c>
      <c r="O154" s="170">
        <v>0</v>
      </c>
      <c r="P154" s="171">
        <v>0</v>
      </c>
      <c r="Q154" s="170">
        <v>0</v>
      </c>
      <c r="T154" s="160"/>
    </row>
    <row r="155" spans="1:20" s="159" customFormat="1" ht="27" hidden="1" customHeight="1">
      <c r="A155" s="819"/>
      <c r="B155" s="822"/>
      <c r="C155" s="169" t="s">
        <v>15</v>
      </c>
      <c r="D155" s="168">
        <f>SUM(E155:Q155)</f>
        <v>0</v>
      </c>
      <c r="E155" s="166">
        <f t="shared" ref="E155:Q155" si="39">E153+E154</f>
        <v>0</v>
      </c>
      <c r="F155" s="166">
        <f t="shared" si="39"/>
        <v>0</v>
      </c>
      <c r="G155" s="166">
        <f t="shared" si="39"/>
        <v>0</v>
      </c>
      <c r="H155" s="166">
        <f t="shared" si="39"/>
        <v>0</v>
      </c>
      <c r="I155" s="166">
        <f t="shared" si="39"/>
        <v>0</v>
      </c>
      <c r="J155" s="166">
        <f t="shared" si="39"/>
        <v>0</v>
      </c>
      <c r="K155" s="166">
        <f t="shared" si="39"/>
        <v>0</v>
      </c>
      <c r="L155" s="166">
        <f t="shared" si="39"/>
        <v>0</v>
      </c>
      <c r="M155" s="166">
        <f t="shared" si="39"/>
        <v>0</v>
      </c>
      <c r="N155" s="166">
        <f t="shared" si="39"/>
        <v>0</v>
      </c>
      <c r="O155" s="166">
        <f t="shared" si="39"/>
        <v>0</v>
      </c>
      <c r="P155" s="167">
        <f t="shared" si="39"/>
        <v>0</v>
      </c>
      <c r="Q155" s="166">
        <f t="shared" si="39"/>
        <v>0</v>
      </c>
      <c r="T155" s="160"/>
    </row>
    <row r="156" spans="1:20" s="159" customFormat="1" ht="6" hidden="1" customHeight="1">
      <c r="A156" s="165"/>
      <c r="B156" s="164"/>
      <c r="C156" s="164"/>
      <c r="D156" s="163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1"/>
      <c r="T156" s="160"/>
    </row>
    <row r="157" spans="1:20" s="157" customFormat="1" ht="22.5" customHeight="1">
      <c r="A157" s="823" t="s">
        <v>432</v>
      </c>
      <c r="B157" s="824"/>
      <c r="C157" s="156" t="s">
        <v>13</v>
      </c>
      <c r="D157" s="154">
        <f t="shared" ref="D157:Q157" si="40">D13+D105</f>
        <v>1262871459</v>
      </c>
      <c r="E157" s="154">
        <f t="shared" si="40"/>
        <v>575831387</v>
      </c>
      <c r="F157" s="154">
        <f t="shared" si="40"/>
        <v>22829611</v>
      </c>
      <c r="G157" s="154">
        <f t="shared" si="40"/>
        <v>428344743</v>
      </c>
      <c r="H157" s="154">
        <f t="shared" si="40"/>
        <v>73361325</v>
      </c>
      <c r="I157" s="154">
        <f t="shared" si="40"/>
        <v>60366678</v>
      </c>
      <c r="J157" s="154">
        <f t="shared" si="40"/>
        <v>13532549</v>
      </c>
      <c r="K157" s="154">
        <f t="shared" si="40"/>
        <v>58000</v>
      </c>
      <c r="L157" s="154">
        <f t="shared" si="40"/>
        <v>1177643</v>
      </c>
      <c r="M157" s="154">
        <f t="shared" si="40"/>
        <v>37945</v>
      </c>
      <c r="N157" s="154">
        <f t="shared" si="40"/>
        <v>56386166</v>
      </c>
      <c r="O157" s="154">
        <f t="shared" si="40"/>
        <v>7198024</v>
      </c>
      <c r="P157" s="155">
        <f t="shared" si="40"/>
        <v>20542202</v>
      </c>
      <c r="Q157" s="154">
        <f t="shared" si="40"/>
        <v>3205186</v>
      </c>
      <c r="T157" s="158"/>
    </row>
    <row r="158" spans="1:20" ht="22.5" customHeight="1">
      <c r="A158" s="825"/>
      <c r="B158" s="826"/>
      <c r="C158" s="156" t="s">
        <v>14</v>
      </c>
      <c r="D158" s="154">
        <f t="shared" ref="D158:Q158" si="41">D14+D106</f>
        <v>101833079</v>
      </c>
      <c r="E158" s="154">
        <f t="shared" si="41"/>
        <v>5276633</v>
      </c>
      <c r="F158" s="154">
        <f t="shared" si="41"/>
        <v>1530239</v>
      </c>
      <c r="G158" s="154">
        <f t="shared" si="41"/>
        <v>83348077</v>
      </c>
      <c r="H158" s="154">
        <f t="shared" si="41"/>
        <v>-8287927</v>
      </c>
      <c r="I158" s="154">
        <f t="shared" si="41"/>
        <v>19064166</v>
      </c>
      <c r="J158" s="154">
        <f t="shared" si="41"/>
        <v>622800</v>
      </c>
      <c r="K158" s="154">
        <f t="shared" si="41"/>
        <v>0</v>
      </c>
      <c r="L158" s="154">
        <f t="shared" si="41"/>
        <v>-300192</v>
      </c>
      <c r="M158" s="154">
        <f t="shared" si="41"/>
        <v>-12262</v>
      </c>
      <c r="N158" s="154">
        <f t="shared" si="41"/>
        <v>0</v>
      </c>
      <c r="O158" s="154">
        <f t="shared" si="41"/>
        <v>266790</v>
      </c>
      <c r="P158" s="155">
        <f t="shared" si="41"/>
        <v>0</v>
      </c>
      <c r="Q158" s="154">
        <f t="shared" si="41"/>
        <v>324755</v>
      </c>
    </row>
    <row r="159" spans="1:20" ht="22.5" customHeight="1">
      <c r="A159" s="827"/>
      <c r="B159" s="828"/>
      <c r="C159" s="156" t="s">
        <v>15</v>
      </c>
      <c r="D159" s="154">
        <f>D157+D158</f>
        <v>1364704538</v>
      </c>
      <c r="E159" s="154">
        <f>E15+E107</f>
        <v>581108020</v>
      </c>
      <c r="F159" s="154">
        <f t="shared" ref="F159:Q159" si="42">F157+F158</f>
        <v>24359850</v>
      </c>
      <c r="G159" s="154">
        <f t="shared" si="42"/>
        <v>511692820</v>
      </c>
      <c r="H159" s="154">
        <f t="shared" si="42"/>
        <v>65073398</v>
      </c>
      <c r="I159" s="154">
        <f t="shared" si="42"/>
        <v>79430844</v>
      </c>
      <c r="J159" s="154">
        <f t="shared" si="42"/>
        <v>14155349</v>
      </c>
      <c r="K159" s="154">
        <f t="shared" si="42"/>
        <v>58000</v>
      </c>
      <c r="L159" s="154">
        <f t="shared" si="42"/>
        <v>877451</v>
      </c>
      <c r="M159" s="154">
        <f t="shared" si="42"/>
        <v>25683</v>
      </c>
      <c r="N159" s="154">
        <f t="shared" si="42"/>
        <v>56386166</v>
      </c>
      <c r="O159" s="154">
        <f t="shared" si="42"/>
        <v>7464814</v>
      </c>
      <c r="P159" s="155">
        <f t="shared" si="42"/>
        <v>20542202</v>
      </c>
      <c r="Q159" s="154">
        <f t="shared" si="42"/>
        <v>3529941</v>
      </c>
    </row>
    <row r="160" spans="1:20" s="143" customFormat="1" ht="12" customHeight="1">
      <c r="A160" s="153" t="s">
        <v>11</v>
      </c>
      <c r="B160" s="153"/>
      <c r="C160" s="153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</row>
    <row r="161" spans="1:17" s="147" customFormat="1" ht="15" customHeight="1">
      <c r="A161" s="151" t="s">
        <v>13</v>
      </c>
      <c r="B161" s="84" t="s">
        <v>431</v>
      </c>
      <c r="C161" s="149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</row>
    <row r="162" spans="1:17" s="147" customFormat="1" ht="15" customHeight="1">
      <c r="A162" s="151" t="s">
        <v>14</v>
      </c>
      <c r="B162" s="150" t="s">
        <v>430</v>
      </c>
      <c r="C162" s="149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</row>
    <row r="163" spans="1:17" s="147" customFormat="1" ht="15" customHeight="1">
      <c r="A163" s="151" t="s">
        <v>15</v>
      </c>
      <c r="B163" s="150" t="s">
        <v>429</v>
      </c>
      <c r="C163" s="149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</row>
    <row r="164" spans="1:17" s="147" customFormat="1" ht="15" customHeight="1">
      <c r="A164" s="151"/>
      <c r="B164" s="150"/>
      <c r="C164" s="149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</row>
    <row r="165" spans="1:17" s="143" customFormat="1">
      <c r="A165" s="146"/>
      <c r="B165" s="145"/>
      <c r="C165" s="145"/>
      <c r="D165" s="144"/>
    </row>
    <row r="166" spans="1:17" s="143" customFormat="1">
      <c r="A166" s="146"/>
      <c r="B166" s="145"/>
      <c r="C166" s="145"/>
      <c r="D166" s="144"/>
    </row>
    <row r="167" spans="1:17" s="143" customFormat="1">
      <c r="A167" s="146"/>
      <c r="B167" s="145"/>
      <c r="C167" s="145"/>
      <c r="D167" s="144"/>
    </row>
    <row r="168" spans="1:17" s="143" customFormat="1">
      <c r="A168" s="146"/>
      <c r="B168" s="145"/>
      <c r="C168" s="145"/>
      <c r="D168" s="144"/>
    </row>
    <row r="169" spans="1:17" s="143" customFormat="1">
      <c r="A169" s="146"/>
      <c r="B169" s="145"/>
      <c r="C169" s="145"/>
      <c r="D169" s="144"/>
    </row>
    <row r="170" spans="1:17" s="143" customFormat="1">
      <c r="A170" s="146"/>
      <c r="B170" s="145"/>
      <c r="C170" s="145"/>
      <c r="D170" s="144"/>
    </row>
    <row r="171" spans="1:17" s="143" customFormat="1">
      <c r="A171" s="146"/>
      <c r="B171" s="145"/>
      <c r="C171" s="145"/>
      <c r="D171" s="144"/>
    </row>
    <row r="172" spans="1:17" s="143" customFormat="1">
      <c r="A172" s="146"/>
      <c r="B172" s="145"/>
      <c r="C172" s="145"/>
      <c r="D172" s="144"/>
    </row>
    <row r="173" spans="1:17" s="143" customFormat="1">
      <c r="A173" s="146"/>
      <c r="B173" s="145"/>
      <c r="C173" s="145"/>
      <c r="D173" s="144"/>
    </row>
    <row r="174" spans="1:17" s="143" customFormat="1">
      <c r="A174" s="146"/>
      <c r="B174" s="145"/>
      <c r="C174" s="145"/>
      <c r="D174" s="144"/>
    </row>
    <row r="175" spans="1:17" s="143" customFormat="1">
      <c r="A175" s="146"/>
      <c r="B175" s="145"/>
      <c r="C175" s="145"/>
      <c r="D175" s="144"/>
    </row>
    <row r="176" spans="1:17" s="143" customFormat="1">
      <c r="A176" s="146"/>
      <c r="B176" s="145"/>
      <c r="C176" s="145"/>
      <c r="D176" s="144"/>
    </row>
    <row r="177" spans="1:4" s="143" customFormat="1">
      <c r="A177" s="146"/>
      <c r="B177" s="145"/>
      <c r="C177" s="145"/>
      <c r="D177" s="144"/>
    </row>
    <row r="178" spans="1:4" s="143" customFormat="1">
      <c r="A178" s="146"/>
      <c r="B178" s="145"/>
      <c r="C178" s="145"/>
      <c r="D178" s="144"/>
    </row>
    <row r="179" spans="1:4" s="143" customFormat="1">
      <c r="A179" s="146"/>
      <c r="B179" s="145"/>
      <c r="C179" s="145"/>
      <c r="D179" s="144"/>
    </row>
    <row r="180" spans="1:4" s="143" customFormat="1">
      <c r="A180" s="146"/>
      <c r="B180" s="145"/>
      <c r="C180" s="145"/>
      <c r="D180" s="144"/>
    </row>
    <row r="181" spans="1:4" s="143" customFormat="1">
      <c r="A181" s="146"/>
      <c r="B181" s="145"/>
      <c r="C181" s="145"/>
      <c r="D181" s="144"/>
    </row>
    <row r="182" spans="1:4" s="143" customFormat="1">
      <c r="A182" s="146"/>
      <c r="B182" s="145"/>
      <c r="C182" s="145"/>
      <c r="D182" s="144"/>
    </row>
    <row r="183" spans="1:4" s="143" customFormat="1">
      <c r="A183" s="146"/>
      <c r="B183" s="145"/>
      <c r="C183" s="145"/>
      <c r="D183" s="144"/>
    </row>
    <row r="184" spans="1:4" s="143" customFormat="1">
      <c r="A184" s="146"/>
      <c r="B184" s="145"/>
      <c r="C184" s="145"/>
      <c r="D184" s="144"/>
    </row>
    <row r="185" spans="1:4" s="143" customFormat="1">
      <c r="A185" s="146"/>
      <c r="B185" s="145"/>
      <c r="C185" s="145"/>
      <c r="D185" s="144"/>
    </row>
    <row r="186" spans="1:4" s="143" customFormat="1">
      <c r="A186" s="146"/>
      <c r="B186" s="145"/>
      <c r="C186" s="145"/>
      <c r="D186" s="144"/>
    </row>
    <row r="187" spans="1:4" s="143" customFormat="1">
      <c r="A187" s="146"/>
      <c r="B187" s="145"/>
      <c r="C187" s="145"/>
      <c r="D187" s="144"/>
    </row>
    <row r="188" spans="1:4" s="143" customFormat="1">
      <c r="A188" s="146"/>
      <c r="B188" s="145"/>
      <c r="C188" s="145"/>
      <c r="D188" s="144"/>
    </row>
    <row r="189" spans="1:4" s="143" customFormat="1">
      <c r="A189" s="146"/>
      <c r="B189" s="145"/>
      <c r="C189" s="145"/>
      <c r="D189" s="144"/>
    </row>
    <row r="190" spans="1:4" s="143" customFormat="1">
      <c r="A190" s="146"/>
      <c r="B190" s="145"/>
      <c r="C190" s="145"/>
      <c r="D190" s="144"/>
    </row>
    <row r="191" spans="1:4" s="143" customFormat="1">
      <c r="A191" s="146"/>
      <c r="B191" s="145"/>
      <c r="C191" s="145"/>
      <c r="D191" s="144"/>
    </row>
    <row r="192" spans="1:4" s="143" customFormat="1">
      <c r="A192" s="146"/>
      <c r="B192" s="145"/>
      <c r="C192" s="145"/>
      <c r="D192" s="144"/>
    </row>
    <row r="193" spans="1:4" s="143" customFormat="1">
      <c r="A193" s="146"/>
      <c r="B193" s="145"/>
      <c r="C193" s="145"/>
      <c r="D193" s="144"/>
    </row>
    <row r="194" spans="1:4" s="143" customFormat="1">
      <c r="A194" s="146"/>
      <c r="B194" s="145"/>
      <c r="C194" s="145"/>
      <c r="D194" s="144"/>
    </row>
    <row r="195" spans="1:4" s="143" customFormat="1">
      <c r="A195" s="146"/>
      <c r="B195" s="145"/>
      <c r="C195" s="145"/>
      <c r="D195" s="144"/>
    </row>
    <row r="196" spans="1:4" s="143" customFormat="1">
      <c r="A196" s="146"/>
      <c r="B196" s="145"/>
      <c r="C196" s="145"/>
      <c r="D196" s="144"/>
    </row>
    <row r="197" spans="1:4" s="143" customFormat="1">
      <c r="A197" s="146"/>
      <c r="B197" s="145"/>
      <c r="C197" s="145"/>
      <c r="D197" s="144"/>
    </row>
    <row r="198" spans="1:4" s="143" customFormat="1">
      <c r="A198" s="146"/>
      <c r="B198" s="145"/>
      <c r="C198" s="145"/>
      <c r="D198" s="144"/>
    </row>
    <row r="199" spans="1:4" s="143" customFormat="1">
      <c r="A199" s="146"/>
      <c r="B199" s="145"/>
      <c r="C199" s="145"/>
      <c r="D199" s="144"/>
    </row>
    <row r="200" spans="1:4" s="143" customFormat="1">
      <c r="A200" s="146"/>
      <c r="B200" s="145"/>
      <c r="C200" s="145"/>
      <c r="D200" s="144"/>
    </row>
    <row r="201" spans="1:4" s="143" customFormat="1">
      <c r="A201" s="146"/>
      <c r="B201" s="145"/>
      <c r="C201" s="145"/>
      <c r="D201" s="144"/>
    </row>
    <row r="202" spans="1:4" s="143" customFormat="1">
      <c r="A202" s="146"/>
      <c r="B202" s="145"/>
      <c r="C202" s="145"/>
      <c r="D202" s="144"/>
    </row>
    <row r="203" spans="1:4" s="143" customFormat="1">
      <c r="A203" s="146"/>
      <c r="B203" s="145"/>
      <c r="C203" s="145"/>
      <c r="D203" s="144"/>
    </row>
    <row r="204" spans="1:4" s="143" customFormat="1">
      <c r="A204" s="146"/>
      <c r="B204" s="145"/>
      <c r="C204" s="145"/>
      <c r="D204" s="144"/>
    </row>
    <row r="205" spans="1:4" s="143" customFormat="1">
      <c r="A205" s="146"/>
      <c r="B205" s="145"/>
      <c r="C205" s="145"/>
      <c r="D205" s="144"/>
    </row>
    <row r="206" spans="1:4" s="143" customFormat="1">
      <c r="A206" s="146"/>
      <c r="B206" s="145"/>
      <c r="C206" s="145"/>
      <c r="D206" s="144"/>
    </row>
    <row r="207" spans="1:4" s="143" customFormat="1">
      <c r="A207" s="146"/>
      <c r="B207" s="145"/>
      <c r="C207" s="145"/>
      <c r="D207" s="144"/>
    </row>
    <row r="208" spans="1:4" s="143" customFormat="1">
      <c r="A208" s="146"/>
      <c r="B208" s="145"/>
      <c r="C208" s="145"/>
      <c r="D208" s="144"/>
    </row>
    <row r="209" spans="1:4" s="143" customFormat="1">
      <c r="A209" s="146"/>
      <c r="B209" s="145"/>
      <c r="C209" s="145"/>
      <c r="D209" s="144"/>
    </row>
    <row r="210" spans="1:4" s="143" customFormat="1">
      <c r="A210" s="146"/>
      <c r="B210" s="145"/>
      <c r="C210" s="145"/>
      <c r="D210" s="144"/>
    </row>
    <row r="211" spans="1:4" s="143" customFormat="1">
      <c r="A211" s="146"/>
      <c r="B211" s="145"/>
      <c r="C211" s="145"/>
      <c r="D211" s="144"/>
    </row>
    <row r="212" spans="1:4" s="143" customFormat="1">
      <c r="A212" s="146"/>
      <c r="B212" s="145"/>
      <c r="C212" s="145"/>
      <c r="D212" s="144"/>
    </row>
    <row r="213" spans="1:4" s="143" customFormat="1">
      <c r="A213" s="146"/>
      <c r="B213" s="145"/>
      <c r="C213" s="145"/>
      <c r="D213" s="144"/>
    </row>
    <row r="214" spans="1:4" s="143" customFormat="1">
      <c r="A214" s="146"/>
      <c r="B214" s="145"/>
      <c r="C214" s="145"/>
      <c r="D214" s="144"/>
    </row>
    <row r="215" spans="1:4" s="143" customFormat="1">
      <c r="A215" s="146"/>
      <c r="B215" s="145"/>
      <c r="C215" s="145"/>
      <c r="D215" s="144"/>
    </row>
    <row r="216" spans="1:4" s="143" customFormat="1">
      <c r="A216" s="146"/>
      <c r="B216" s="145"/>
      <c r="C216" s="145"/>
      <c r="D216" s="144"/>
    </row>
    <row r="217" spans="1:4" s="143" customFormat="1">
      <c r="A217" s="146"/>
      <c r="B217" s="145"/>
      <c r="C217" s="145"/>
      <c r="D217" s="144"/>
    </row>
    <row r="218" spans="1:4" s="143" customFormat="1">
      <c r="A218" s="146"/>
      <c r="B218" s="145"/>
      <c r="C218" s="145"/>
      <c r="D218" s="144"/>
    </row>
    <row r="219" spans="1:4" s="143" customFormat="1">
      <c r="A219" s="146"/>
      <c r="B219" s="145"/>
      <c r="C219" s="145"/>
      <c r="D219" s="144"/>
    </row>
    <row r="220" spans="1:4" s="143" customFormat="1">
      <c r="A220" s="146"/>
      <c r="B220" s="145"/>
      <c r="C220" s="145"/>
      <c r="D220" s="144"/>
    </row>
    <row r="221" spans="1:4" s="143" customFormat="1">
      <c r="A221" s="146"/>
      <c r="B221" s="145"/>
      <c r="C221" s="145"/>
      <c r="D221" s="144"/>
    </row>
    <row r="222" spans="1:4" s="143" customFormat="1">
      <c r="A222" s="146"/>
      <c r="B222" s="145"/>
      <c r="C222" s="145"/>
      <c r="D222" s="144"/>
    </row>
    <row r="223" spans="1:4" s="143" customFormat="1">
      <c r="A223" s="146"/>
      <c r="B223" s="145"/>
      <c r="C223" s="145"/>
      <c r="D223" s="144"/>
    </row>
    <row r="224" spans="1:4" s="143" customFormat="1">
      <c r="A224" s="146"/>
      <c r="B224" s="145"/>
      <c r="C224" s="145"/>
      <c r="D224" s="144"/>
    </row>
    <row r="225" spans="1:4" s="143" customFormat="1">
      <c r="A225" s="146"/>
      <c r="B225" s="145"/>
      <c r="C225" s="145"/>
      <c r="D225" s="144"/>
    </row>
    <row r="226" spans="1:4" s="143" customFormat="1">
      <c r="A226" s="146"/>
      <c r="B226" s="145"/>
      <c r="C226" s="145"/>
      <c r="D226" s="144"/>
    </row>
    <row r="227" spans="1:4" s="143" customFormat="1">
      <c r="A227" s="146"/>
      <c r="B227" s="145"/>
      <c r="C227" s="145"/>
      <c r="D227" s="144"/>
    </row>
    <row r="228" spans="1:4" s="143" customFormat="1">
      <c r="A228" s="146"/>
      <c r="B228" s="145"/>
      <c r="C228" s="145"/>
      <c r="D228" s="144"/>
    </row>
    <row r="229" spans="1:4" s="143" customFormat="1">
      <c r="A229" s="146"/>
      <c r="B229" s="145"/>
      <c r="C229" s="145"/>
      <c r="D229" s="144"/>
    </row>
    <row r="230" spans="1:4" s="143" customFormat="1">
      <c r="A230" s="146"/>
      <c r="B230" s="145"/>
      <c r="C230" s="145"/>
      <c r="D230" s="144"/>
    </row>
    <row r="231" spans="1:4" s="143" customFormat="1">
      <c r="A231" s="146"/>
      <c r="B231" s="145"/>
      <c r="C231" s="145"/>
      <c r="D231" s="144"/>
    </row>
    <row r="232" spans="1:4" s="143" customFormat="1">
      <c r="A232" s="146"/>
      <c r="B232" s="145"/>
      <c r="C232" s="145"/>
      <c r="D232" s="144"/>
    </row>
    <row r="233" spans="1:4" s="143" customFormat="1">
      <c r="A233" s="146"/>
      <c r="B233" s="145"/>
      <c r="C233" s="145"/>
      <c r="D233" s="144"/>
    </row>
    <row r="234" spans="1:4" s="143" customFormat="1">
      <c r="A234" s="146"/>
      <c r="B234" s="145"/>
      <c r="C234" s="145"/>
      <c r="D234" s="144"/>
    </row>
    <row r="235" spans="1:4" s="143" customFormat="1">
      <c r="A235" s="146"/>
      <c r="B235" s="145"/>
      <c r="C235" s="145"/>
      <c r="D235" s="144"/>
    </row>
    <row r="236" spans="1:4" s="143" customFormat="1">
      <c r="A236" s="146"/>
      <c r="B236" s="145"/>
      <c r="C236" s="145"/>
      <c r="D236" s="144"/>
    </row>
    <row r="237" spans="1:4" s="143" customFormat="1">
      <c r="A237" s="146"/>
      <c r="B237" s="145"/>
      <c r="C237" s="145"/>
      <c r="D237" s="144"/>
    </row>
    <row r="238" spans="1:4" s="143" customFormat="1">
      <c r="A238" s="146"/>
      <c r="B238" s="145"/>
      <c r="C238" s="145"/>
      <c r="D238" s="144"/>
    </row>
    <row r="239" spans="1:4" s="143" customFormat="1">
      <c r="A239" s="146"/>
      <c r="B239" s="145"/>
      <c r="C239" s="145"/>
      <c r="D239" s="144"/>
    </row>
    <row r="240" spans="1:4" s="143" customFormat="1">
      <c r="A240" s="146"/>
      <c r="B240" s="145"/>
      <c r="C240" s="145"/>
      <c r="D240" s="144"/>
    </row>
    <row r="241" spans="1:4" s="143" customFormat="1">
      <c r="A241" s="146"/>
      <c r="B241" s="145"/>
      <c r="C241" s="145"/>
      <c r="D241" s="144"/>
    </row>
    <row r="242" spans="1:4" s="143" customFormat="1">
      <c r="A242" s="146"/>
      <c r="B242" s="145"/>
      <c r="C242" s="145"/>
      <c r="D242" s="144"/>
    </row>
    <row r="243" spans="1:4" s="143" customFormat="1">
      <c r="A243" s="146"/>
      <c r="B243" s="145"/>
      <c r="C243" s="145"/>
      <c r="D243" s="144"/>
    </row>
    <row r="244" spans="1:4" s="143" customFormat="1">
      <c r="A244" s="146"/>
      <c r="B244" s="145"/>
      <c r="C244" s="145"/>
      <c r="D244" s="144"/>
    </row>
    <row r="245" spans="1:4" s="143" customFormat="1">
      <c r="A245" s="146"/>
      <c r="B245" s="145"/>
      <c r="C245" s="145"/>
      <c r="D245" s="144"/>
    </row>
    <row r="246" spans="1:4" s="143" customFormat="1">
      <c r="A246" s="146"/>
      <c r="B246" s="145"/>
      <c r="C246" s="145"/>
      <c r="D246" s="144"/>
    </row>
    <row r="247" spans="1:4" s="143" customFormat="1">
      <c r="A247" s="146"/>
      <c r="B247" s="145"/>
      <c r="C247" s="145"/>
      <c r="D247" s="144"/>
    </row>
    <row r="248" spans="1:4" s="143" customFormat="1">
      <c r="A248" s="146"/>
      <c r="B248" s="145"/>
      <c r="C248" s="145"/>
      <c r="D248" s="144"/>
    </row>
    <row r="249" spans="1:4" s="143" customFormat="1">
      <c r="A249" s="146"/>
      <c r="B249" s="145"/>
      <c r="C249" s="145"/>
      <c r="D249" s="144"/>
    </row>
    <row r="250" spans="1:4" s="143" customFormat="1">
      <c r="A250" s="146"/>
      <c r="B250" s="145"/>
      <c r="C250" s="145"/>
      <c r="D250" s="144"/>
    </row>
    <row r="251" spans="1:4" s="143" customFormat="1">
      <c r="A251" s="146"/>
      <c r="B251" s="145"/>
      <c r="C251" s="145"/>
      <c r="D251" s="144"/>
    </row>
    <row r="252" spans="1:4" s="143" customFormat="1">
      <c r="A252" s="146"/>
      <c r="B252" s="145"/>
      <c r="C252" s="145"/>
      <c r="D252" s="144"/>
    </row>
    <row r="253" spans="1:4" s="143" customFormat="1">
      <c r="A253" s="146"/>
      <c r="B253" s="145"/>
      <c r="C253" s="145"/>
      <c r="D253" s="144"/>
    </row>
    <row r="254" spans="1:4" s="143" customFormat="1">
      <c r="A254" s="146"/>
      <c r="B254" s="145"/>
      <c r="C254" s="145"/>
      <c r="D254" s="144"/>
    </row>
    <row r="255" spans="1:4" s="143" customFormat="1">
      <c r="A255" s="146"/>
      <c r="B255" s="145"/>
      <c r="C255" s="145"/>
      <c r="D255" s="144"/>
    </row>
    <row r="256" spans="1:4" s="143" customFormat="1">
      <c r="A256" s="146"/>
      <c r="B256" s="145"/>
      <c r="C256" s="145"/>
      <c r="D256" s="144"/>
    </row>
    <row r="257" spans="1:4" s="143" customFormat="1">
      <c r="A257" s="146"/>
      <c r="B257" s="145"/>
      <c r="C257" s="145"/>
      <c r="D257" s="144"/>
    </row>
    <row r="258" spans="1:4" s="143" customFormat="1">
      <c r="A258" s="146"/>
      <c r="B258" s="145"/>
      <c r="C258" s="145"/>
      <c r="D258" s="144"/>
    </row>
    <row r="259" spans="1:4" s="143" customFormat="1">
      <c r="A259" s="146"/>
      <c r="B259" s="145"/>
      <c r="C259" s="145"/>
      <c r="D259" s="144"/>
    </row>
  </sheetData>
  <sheetProtection password="C25B" sheet="1" objects="1" scenarios="1"/>
  <mergeCells count="94">
    <mergeCell ref="A4:P4"/>
    <mergeCell ref="A5:Q5"/>
    <mergeCell ref="A7:A10"/>
    <mergeCell ref="B7:B10"/>
    <mergeCell ref="C7:C10"/>
    <mergeCell ref="D7:D10"/>
    <mergeCell ref="E7:E10"/>
    <mergeCell ref="F7:F10"/>
    <mergeCell ref="G7:Q7"/>
    <mergeCell ref="G8:M8"/>
    <mergeCell ref="N8:Q8"/>
    <mergeCell ref="G9:G10"/>
    <mergeCell ref="H9:I9"/>
    <mergeCell ref="J9:J10"/>
    <mergeCell ref="K9:K10"/>
    <mergeCell ref="L9:L10"/>
    <mergeCell ref="M9:M10"/>
    <mergeCell ref="N9:N10"/>
    <mergeCell ref="O9:O10"/>
    <mergeCell ref="P9:P10"/>
    <mergeCell ref="Q9:Q10"/>
    <mergeCell ref="A13:B15"/>
    <mergeCell ref="A17:A19"/>
    <mergeCell ref="B17:B19"/>
    <mergeCell ref="A21:A23"/>
    <mergeCell ref="B21:B23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B93:B95"/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6:Q116"/>
    <mergeCell ref="A117:A119"/>
    <mergeCell ref="B117:B119"/>
    <mergeCell ref="A121:A123"/>
    <mergeCell ref="B121:B123"/>
    <mergeCell ref="A125:A127"/>
    <mergeCell ref="B125:B127"/>
    <mergeCell ref="A129:A131"/>
    <mergeCell ref="B129:B131"/>
    <mergeCell ref="A133:A135"/>
    <mergeCell ref="B133:B135"/>
    <mergeCell ref="A137:A139"/>
    <mergeCell ref="B137:B139"/>
    <mergeCell ref="A141:A143"/>
    <mergeCell ref="B141:B143"/>
    <mergeCell ref="A157:B159"/>
    <mergeCell ref="A145:A147"/>
    <mergeCell ref="B145:B147"/>
    <mergeCell ref="A149:A151"/>
    <mergeCell ref="B149:B151"/>
    <mergeCell ref="A153:A155"/>
    <mergeCell ref="B153:B15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61" orientation="landscape" r:id="rId1"/>
  <headerFooter alignWithMargins="0"/>
  <colBreaks count="1" manualBreakCount="1">
    <brk id="17" max="1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18"/>
  <sheetViews>
    <sheetView view="pageBreakPreview" zoomScaleNormal="100" zoomScaleSheetLayoutView="100" workbookViewId="0">
      <selection activeCell="D31" sqref="D31:D33"/>
    </sheetView>
  </sheetViews>
  <sheetFormatPr defaultColWidth="8" defaultRowHeight="12.75"/>
  <cols>
    <col min="1" max="1" width="4.625" style="289" customWidth="1"/>
    <col min="2" max="2" width="6.625" style="289" customWidth="1"/>
    <col min="3" max="3" width="15.625" style="288" customWidth="1"/>
    <col min="4" max="4" width="42" style="288" customWidth="1"/>
    <col min="5" max="5" width="2.5" style="287" customWidth="1"/>
    <col min="6" max="6" width="13.75" style="285" customWidth="1"/>
    <col min="7" max="7" width="16.125" style="288" customWidth="1"/>
    <col min="8" max="8" width="2.875" style="288" customWidth="1"/>
    <col min="9" max="16384" width="8" style="284"/>
  </cols>
  <sheetData>
    <row r="1" spans="1:8" s="451" customFormat="1" ht="15" customHeight="1">
      <c r="A1" s="453"/>
      <c r="B1" s="453"/>
      <c r="C1" s="812"/>
      <c r="D1" s="454" t="s">
        <v>840</v>
      </c>
      <c r="E1" s="1283" t="s">
        <v>1169</v>
      </c>
      <c r="F1" s="1283"/>
      <c r="G1" s="1283"/>
      <c r="H1" s="452"/>
    </row>
    <row r="2" spans="1:8" s="451" customFormat="1" ht="15" customHeight="1">
      <c r="A2" s="453"/>
      <c r="B2" s="453"/>
      <c r="C2" s="812"/>
      <c r="D2" s="812" t="s">
        <v>839</v>
      </c>
      <c r="E2" s="1284" t="s">
        <v>838</v>
      </c>
      <c r="F2" s="1284"/>
      <c r="G2" s="1284"/>
      <c r="H2" s="452"/>
    </row>
    <row r="3" spans="1:8" s="451" customFormat="1" ht="5.25" customHeight="1">
      <c r="A3" s="453"/>
      <c r="B3" s="453"/>
      <c r="C3" s="452"/>
      <c r="D3" s="1284" t="s">
        <v>837</v>
      </c>
      <c r="E3" s="1284"/>
      <c r="F3" s="1284"/>
      <c r="G3" s="1284"/>
      <c r="H3" s="452"/>
    </row>
    <row r="4" spans="1:8" s="451" customFormat="1" ht="45.75" customHeight="1">
      <c r="A4" s="1285" t="s">
        <v>836</v>
      </c>
      <c r="B4" s="1285"/>
      <c r="C4" s="1285"/>
      <c r="D4" s="1285"/>
      <c r="E4" s="1285"/>
      <c r="F4" s="1285"/>
      <c r="G4" s="1285"/>
      <c r="H4" s="452"/>
    </row>
    <row r="5" spans="1:8" ht="11.25" customHeight="1">
      <c r="F5" s="450"/>
      <c r="G5" s="449" t="s">
        <v>0</v>
      </c>
    </row>
    <row r="6" spans="1:8" s="372" customFormat="1" ht="15.75" customHeight="1">
      <c r="A6" s="1286" t="s">
        <v>1</v>
      </c>
      <c r="B6" s="1286" t="s">
        <v>8</v>
      </c>
      <c r="C6" s="1288" t="s">
        <v>835</v>
      </c>
      <c r="D6" s="1289"/>
      <c r="E6" s="1290" t="s">
        <v>11</v>
      </c>
      <c r="F6" s="1292" t="s">
        <v>834</v>
      </c>
      <c r="G6" s="1290" t="s">
        <v>833</v>
      </c>
      <c r="H6" s="422"/>
    </row>
    <row r="7" spans="1:8" s="372" customFormat="1" ht="38.25" customHeight="1">
      <c r="A7" s="1287"/>
      <c r="B7" s="1287"/>
      <c r="C7" s="813" t="s">
        <v>832</v>
      </c>
      <c r="D7" s="813" t="s">
        <v>831</v>
      </c>
      <c r="E7" s="1291"/>
      <c r="F7" s="1293"/>
      <c r="G7" s="1291"/>
      <c r="H7" s="422"/>
    </row>
    <row r="8" spans="1:8" s="355" customFormat="1" ht="11.25">
      <c r="A8" s="448">
        <v>1</v>
      </c>
      <c r="B8" s="448">
        <v>2</v>
      </c>
      <c r="C8" s="446">
        <v>3</v>
      </c>
      <c r="D8" s="446">
        <v>4</v>
      </c>
      <c r="E8" s="446">
        <v>5</v>
      </c>
      <c r="F8" s="447">
        <v>6</v>
      </c>
      <c r="G8" s="446">
        <v>7</v>
      </c>
      <c r="H8" s="445"/>
    </row>
    <row r="9" spans="1:8" s="443" customFormat="1" ht="22.5" customHeight="1">
      <c r="A9" s="1294" t="s">
        <v>12</v>
      </c>
      <c r="B9" s="1295"/>
      <c r="C9" s="1295"/>
      <c r="D9" s="1296"/>
      <c r="E9" s="814" t="s">
        <v>13</v>
      </c>
      <c r="F9" s="444">
        <f t="shared" ref="F9:G11" si="0">F13+F16+F19+F22+F25+F28+F31+F34+F37+F40+F43+F46+F49+F52+F55+F58+F61+F64+F67+F70+F73+F76+F79+F82+F85+F88</f>
        <v>20730573</v>
      </c>
      <c r="G9" s="444">
        <f t="shared" si="0"/>
        <v>220041273</v>
      </c>
    </row>
    <row r="10" spans="1:8" s="443" customFormat="1" ht="22.5" customHeight="1">
      <c r="A10" s="1297"/>
      <c r="B10" s="1298"/>
      <c r="C10" s="1298"/>
      <c r="D10" s="1299"/>
      <c r="E10" s="814" t="s">
        <v>14</v>
      </c>
      <c r="F10" s="444">
        <f t="shared" si="0"/>
        <v>889590</v>
      </c>
      <c r="G10" s="444">
        <f t="shared" si="0"/>
        <v>18613253</v>
      </c>
    </row>
    <row r="11" spans="1:8" s="443" customFormat="1" ht="22.5" customHeight="1">
      <c r="A11" s="1300"/>
      <c r="B11" s="1301"/>
      <c r="C11" s="1301"/>
      <c r="D11" s="1302"/>
      <c r="E11" s="814" t="s">
        <v>15</v>
      </c>
      <c r="F11" s="444">
        <f t="shared" si="0"/>
        <v>21620163</v>
      </c>
      <c r="G11" s="444">
        <f t="shared" si="0"/>
        <v>238654526</v>
      </c>
    </row>
    <row r="12" spans="1:8" s="443" customFormat="1" ht="9" customHeight="1">
      <c r="A12" s="1303"/>
      <c r="B12" s="1304"/>
      <c r="C12" s="1304"/>
      <c r="D12" s="1304"/>
      <c r="E12" s="1304"/>
      <c r="F12" s="1304"/>
      <c r="G12" s="1305"/>
    </row>
    <row r="13" spans="1:8" s="435" customFormat="1" ht="18" customHeight="1">
      <c r="A13" s="442">
        <v>600</v>
      </c>
      <c r="B13" s="441">
        <v>60013</v>
      </c>
      <c r="C13" s="1306" t="s">
        <v>830</v>
      </c>
      <c r="D13" s="1309" t="s">
        <v>829</v>
      </c>
      <c r="E13" s="438" t="s">
        <v>13</v>
      </c>
      <c r="F13" s="437">
        <v>79210</v>
      </c>
      <c r="G13" s="440">
        <v>79210</v>
      </c>
      <c r="H13" s="436"/>
    </row>
    <row r="14" spans="1:8" s="435" customFormat="1" ht="18" customHeight="1">
      <c r="A14" s="442"/>
      <c r="B14" s="441"/>
      <c r="C14" s="1307"/>
      <c r="D14" s="1310"/>
      <c r="E14" s="438" t="s">
        <v>14</v>
      </c>
      <c r="F14" s="437">
        <v>65190</v>
      </c>
      <c r="G14" s="440">
        <v>65190</v>
      </c>
      <c r="H14" s="436"/>
    </row>
    <row r="15" spans="1:8" s="435" customFormat="1" ht="18" customHeight="1">
      <c r="A15" s="442"/>
      <c r="B15" s="441"/>
      <c r="C15" s="1308"/>
      <c r="D15" s="1311"/>
      <c r="E15" s="438" t="s">
        <v>15</v>
      </c>
      <c r="F15" s="437">
        <f>F13+F14</f>
        <v>144400</v>
      </c>
      <c r="G15" s="437">
        <f>G13+G14</f>
        <v>144400</v>
      </c>
      <c r="H15" s="436"/>
    </row>
    <row r="16" spans="1:8" s="435" customFormat="1" ht="18" hidden="1" customHeight="1">
      <c r="A16" s="439"/>
      <c r="B16" s="441"/>
      <c r="C16" s="1306" t="s">
        <v>827</v>
      </c>
      <c r="D16" s="1309" t="s">
        <v>828</v>
      </c>
      <c r="E16" s="438" t="s">
        <v>13</v>
      </c>
      <c r="F16" s="437">
        <v>201215</v>
      </c>
      <c r="G16" s="440">
        <v>201215</v>
      </c>
      <c r="H16" s="436"/>
    </row>
    <row r="17" spans="1:8" s="435" customFormat="1" ht="18" hidden="1" customHeight="1">
      <c r="A17" s="439"/>
      <c r="B17" s="441"/>
      <c r="C17" s="1307"/>
      <c r="D17" s="1310"/>
      <c r="E17" s="438" t="s">
        <v>14</v>
      </c>
      <c r="F17" s="437">
        <v>0</v>
      </c>
      <c r="G17" s="440">
        <v>0</v>
      </c>
      <c r="H17" s="436"/>
    </row>
    <row r="18" spans="1:8" s="435" customFormat="1" ht="18" hidden="1" customHeight="1">
      <c r="A18" s="439"/>
      <c r="B18" s="441"/>
      <c r="C18" s="1308"/>
      <c r="D18" s="1311"/>
      <c r="E18" s="438" t="s">
        <v>15</v>
      </c>
      <c r="F18" s="437">
        <f>F16+F17</f>
        <v>201215</v>
      </c>
      <c r="G18" s="437">
        <f>G16+G17</f>
        <v>201215</v>
      </c>
      <c r="H18" s="436"/>
    </row>
    <row r="19" spans="1:8" s="435" customFormat="1" ht="18" hidden="1" customHeight="1">
      <c r="A19" s="439"/>
      <c r="B19" s="441"/>
      <c r="C19" s="1306" t="s">
        <v>827</v>
      </c>
      <c r="D19" s="1309" t="s">
        <v>826</v>
      </c>
      <c r="E19" s="438" t="s">
        <v>13</v>
      </c>
      <c r="F19" s="437">
        <v>1000000</v>
      </c>
      <c r="G19" s="440">
        <v>5000000</v>
      </c>
      <c r="H19" s="436"/>
    </row>
    <row r="20" spans="1:8" s="435" customFormat="1" ht="18" hidden="1" customHeight="1">
      <c r="A20" s="439"/>
      <c r="B20" s="441"/>
      <c r="C20" s="1307"/>
      <c r="D20" s="1310"/>
      <c r="E20" s="438" t="s">
        <v>14</v>
      </c>
      <c r="F20" s="437">
        <v>0</v>
      </c>
      <c r="G20" s="440">
        <v>0</v>
      </c>
      <c r="H20" s="436"/>
    </row>
    <row r="21" spans="1:8" s="435" customFormat="1" ht="18" hidden="1" customHeight="1">
      <c r="A21" s="439"/>
      <c r="B21" s="441"/>
      <c r="C21" s="1308"/>
      <c r="D21" s="1311"/>
      <c r="E21" s="438" t="s">
        <v>15</v>
      </c>
      <c r="F21" s="437">
        <f>F19+F20</f>
        <v>1000000</v>
      </c>
      <c r="G21" s="437">
        <f>G19+G20</f>
        <v>5000000</v>
      </c>
      <c r="H21" s="436"/>
    </row>
    <row r="22" spans="1:8" s="435" customFormat="1" ht="18" hidden="1" customHeight="1">
      <c r="A22" s="439"/>
      <c r="B22" s="439"/>
      <c r="C22" s="1306" t="s">
        <v>813</v>
      </c>
      <c r="D22" s="1309" t="s">
        <v>825</v>
      </c>
      <c r="E22" s="438" t="s">
        <v>13</v>
      </c>
      <c r="F22" s="437">
        <v>283274</v>
      </c>
      <c r="G22" s="440">
        <v>2516651</v>
      </c>
      <c r="H22" s="436"/>
    </row>
    <row r="23" spans="1:8" s="435" customFormat="1" ht="18" hidden="1" customHeight="1">
      <c r="A23" s="439"/>
      <c r="B23" s="439"/>
      <c r="C23" s="1307"/>
      <c r="D23" s="1310"/>
      <c r="E23" s="438" t="s">
        <v>14</v>
      </c>
      <c r="F23" s="437">
        <v>0</v>
      </c>
      <c r="G23" s="440">
        <v>0</v>
      </c>
      <c r="H23" s="436"/>
    </row>
    <row r="24" spans="1:8" s="435" customFormat="1" ht="18" hidden="1" customHeight="1">
      <c r="A24" s="439"/>
      <c r="B24" s="439"/>
      <c r="C24" s="1308"/>
      <c r="D24" s="1311"/>
      <c r="E24" s="438" t="s">
        <v>15</v>
      </c>
      <c r="F24" s="437">
        <f>F22+F23</f>
        <v>283274</v>
      </c>
      <c r="G24" s="437">
        <f>G22+G23</f>
        <v>2516651</v>
      </c>
      <c r="H24" s="436"/>
    </row>
    <row r="25" spans="1:8" s="435" customFormat="1" ht="24" hidden="1" customHeight="1">
      <c r="A25" s="439"/>
      <c r="B25" s="439"/>
      <c r="C25" s="1306" t="s">
        <v>815</v>
      </c>
      <c r="D25" s="1309" t="s">
        <v>824</v>
      </c>
      <c r="E25" s="438" t="s">
        <v>13</v>
      </c>
      <c r="F25" s="437">
        <v>1618148</v>
      </c>
      <c r="G25" s="440">
        <v>8666654</v>
      </c>
      <c r="H25" s="436"/>
    </row>
    <row r="26" spans="1:8" s="435" customFormat="1" ht="24" hidden="1" customHeight="1">
      <c r="A26" s="439"/>
      <c r="B26" s="439"/>
      <c r="C26" s="1307"/>
      <c r="D26" s="1310"/>
      <c r="E26" s="438" t="s">
        <v>14</v>
      </c>
      <c r="F26" s="437">
        <v>0</v>
      </c>
      <c r="G26" s="440">
        <v>0</v>
      </c>
      <c r="H26" s="436"/>
    </row>
    <row r="27" spans="1:8" s="435" customFormat="1" ht="24" hidden="1" customHeight="1">
      <c r="A27" s="439"/>
      <c r="B27" s="439"/>
      <c r="C27" s="1308"/>
      <c r="D27" s="1311"/>
      <c r="E27" s="438" t="s">
        <v>15</v>
      </c>
      <c r="F27" s="437">
        <f>F25+F26</f>
        <v>1618148</v>
      </c>
      <c r="G27" s="437">
        <f>G25+G26</f>
        <v>8666654</v>
      </c>
      <c r="H27" s="436"/>
    </row>
    <row r="28" spans="1:8" s="435" customFormat="1" ht="27.95" customHeight="1">
      <c r="A28" s="439"/>
      <c r="B28" s="439"/>
      <c r="C28" s="1306" t="s">
        <v>815</v>
      </c>
      <c r="D28" s="1309" t="s">
        <v>823</v>
      </c>
      <c r="E28" s="438" t="s">
        <v>13</v>
      </c>
      <c r="F28" s="437">
        <v>1254920</v>
      </c>
      <c r="G28" s="440">
        <v>7547639</v>
      </c>
      <c r="H28" s="436"/>
    </row>
    <row r="29" spans="1:8" s="435" customFormat="1" ht="27.95" customHeight="1">
      <c r="A29" s="439"/>
      <c r="B29" s="439"/>
      <c r="C29" s="1307"/>
      <c r="D29" s="1310"/>
      <c r="E29" s="438" t="s">
        <v>14</v>
      </c>
      <c r="F29" s="437">
        <v>231685</v>
      </c>
      <c r="G29" s="440">
        <v>1724674</v>
      </c>
      <c r="H29" s="436"/>
    </row>
    <row r="30" spans="1:8" s="435" customFormat="1" ht="27.95" customHeight="1">
      <c r="A30" s="439"/>
      <c r="B30" s="439"/>
      <c r="C30" s="1308"/>
      <c r="D30" s="1311"/>
      <c r="E30" s="438" t="s">
        <v>15</v>
      </c>
      <c r="F30" s="437">
        <f>F28+F29</f>
        <v>1486605</v>
      </c>
      <c r="G30" s="437">
        <f>G28+G29</f>
        <v>9272313</v>
      </c>
      <c r="H30" s="436"/>
    </row>
    <row r="31" spans="1:8" s="435" customFormat="1" ht="27.95" customHeight="1">
      <c r="A31" s="439"/>
      <c r="B31" s="439"/>
      <c r="C31" s="1306" t="s">
        <v>815</v>
      </c>
      <c r="D31" s="1309" t="s">
        <v>822</v>
      </c>
      <c r="E31" s="438" t="s">
        <v>13</v>
      </c>
      <c r="F31" s="437">
        <v>3651462</v>
      </c>
      <c r="G31" s="440">
        <v>13402015</v>
      </c>
      <c r="H31" s="436"/>
    </row>
    <row r="32" spans="1:8" s="435" customFormat="1" ht="27.95" customHeight="1">
      <c r="A32" s="439"/>
      <c r="B32" s="439"/>
      <c r="C32" s="1307"/>
      <c r="D32" s="1310"/>
      <c r="E32" s="438" t="s">
        <v>14</v>
      </c>
      <c r="F32" s="437">
        <v>207194</v>
      </c>
      <c r="G32" s="440">
        <v>24610</v>
      </c>
      <c r="H32" s="436"/>
    </row>
    <row r="33" spans="1:8" s="435" customFormat="1" ht="27.95" customHeight="1">
      <c r="A33" s="439"/>
      <c r="B33" s="439"/>
      <c r="C33" s="1308"/>
      <c r="D33" s="1311"/>
      <c r="E33" s="438" t="s">
        <v>15</v>
      </c>
      <c r="F33" s="437">
        <f>F31+F32</f>
        <v>3858656</v>
      </c>
      <c r="G33" s="437">
        <f>G31+G32</f>
        <v>13426625</v>
      </c>
      <c r="H33" s="436"/>
    </row>
    <row r="34" spans="1:8" s="435" customFormat="1" ht="18" hidden="1" customHeight="1">
      <c r="A34" s="439"/>
      <c r="B34" s="439"/>
      <c r="C34" s="1306" t="s">
        <v>815</v>
      </c>
      <c r="D34" s="1309" t="s">
        <v>821</v>
      </c>
      <c r="E34" s="438" t="s">
        <v>13</v>
      </c>
      <c r="F34" s="437">
        <v>1112781</v>
      </c>
      <c r="G34" s="440">
        <v>15363557</v>
      </c>
      <c r="H34" s="436"/>
    </row>
    <row r="35" spans="1:8" s="435" customFormat="1" ht="18" hidden="1" customHeight="1">
      <c r="A35" s="439"/>
      <c r="B35" s="439"/>
      <c r="C35" s="1307"/>
      <c r="D35" s="1310"/>
      <c r="E35" s="438" t="s">
        <v>14</v>
      </c>
      <c r="F35" s="437">
        <v>0</v>
      </c>
      <c r="G35" s="440">
        <v>0</v>
      </c>
      <c r="H35" s="436"/>
    </row>
    <row r="36" spans="1:8" s="435" customFormat="1" ht="18" hidden="1" customHeight="1">
      <c r="A36" s="439"/>
      <c r="B36" s="439"/>
      <c r="C36" s="1308"/>
      <c r="D36" s="1311"/>
      <c r="E36" s="438" t="s">
        <v>15</v>
      </c>
      <c r="F36" s="437">
        <f>F34+F35</f>
        <v>1112781</v>
      </c>
      <c r="G36" s="437">
        <f>G34+G35</f>
        <v>15363557</v>
      </c>
      <c r="H36" s="436"/>
    </row>
    <row r="37" spans="1:8" s="435" customFormat="1" ht="18" hidden="1" customHeight="1">
      <c r="A37" s="439"/>
      <c r="B37" s="439"/>
      <c r="C37" s="1306" t="s">
        <v>813</v>
      </c>
      <c r="D37" s="1309" t="s">
        <v>820</v>
      </c>
      <c r="E37" s="438" t="s">
        <v>13</v>
      </c>
      <c r="F37" s="437">
        <v>4371456</v>
      </c>
      <c r="G37" s="440">
        <v>52282261</v>
      </c>
      <c r="H37" s="436"/>
    </row>
    <row r="38" spans="1:8" s="435" customFormat="1" ht="18" hidden="1" customHeight="1">
      <c r="A38" s="439"/>
      <c r="B38" s="439"/>
      <c r="C38" s="1307"/>
      <c r="D38" s="1310"/>
      <c r="E38" s="438" t="s">
        <v>14</v>
      </c>
      <c r="F38" s="437">
        <v>0</v>
      </c>
      <c r="G38" s="440">
        <v>0</v>
      </c>
      <c r="H38" s="436"/>
    </row>
    <row r="39" spans="1:8" s="435" customFormat="1" ht="18" hidden="1" customHeight="1">
      <c r="A39" s="439"/>
      <c r="B39" s="439"/>
      <c r="C39" s="1308"/>
      <c r="D39" s="1311"/>
      <c r="E39" s="438" t="s">
        <v>15</v>
      </c>
      <c r="F39" s="437">
        <f>F37+F38</f>
        <v>4371456</v>
      </c>
      <c r="G39" s="437">
        <f>G37+G38</f>
        <v>52282261</v>
      </c>
      <c r="H39" s="436"/>
    </row>
    <row r="40" spans="1:8" s="435" customFormat="1" ht="18" hidden="1" customHeight="1">
      <c r="A40" s="439"/>
      <c r="B40" s="439"/>
      <c r="C40" s="1306" t="s">
        <v>813</v>
      </c>
      <c r="D40" s="1309" t="s">
        <v>819</v>
      </c>
      <c r="E40" s="438" t="s">
        <v>13</v>
      </c>
      <c r="F40" s="437">
        <v>1191654</v>
      </c>
      <c r="G40" s="440">
        <v>46876968</v>
      </c>
      <c r="H40" s="436"/>
    </row>
    <row r="41" spans="1:8" s="435" customFormat="1" ht="18" hidden="1" customHeight="1">
      <c r="A41" s="439"/>
      <c r="B41" s="439"/>
      <c r="C41" s="1307"/>
      <c r="D41" s="1310"/>
      <c r="E41" s="438" t="s">
        <v>14</v>
      </c>
      <c r="F41" s="437">
        <v>0</v>
      </c>
      <c r="G41" s="440">
        <v>0</v>
      </c>
      <c r="H41" s="436"/>
    </row>
    <row r="42" spans="1:8" s="435" customFormat="1" ht="18" hidden="1" customHeight="1">
      <c r="A42" s="439"/>
      <c r="B42" s="439"/>
      <c r="C42" s="1308"/>
      <c r="D42" s="1311"/>
      <c r="E42" s="438" t="s">
        <v>15</v>
      </c>
      <c r="F42" s="437">
        <f>F40+F41</f>
        <v>1191654</v>
      </c>
      <c r="G42" s="437">
        <f>G40+G41</f>
        <v>46876968</v>
      </c>
      <c r="H42" s="436"/>
    </row>
    <row r="43" spans="1:8" s="314" customFormat="1" ht="18" customHeight="1">
      <c r="A43" s="434" t="s">
        <v>69</v>
      </c>
      <c r="B43" s="434" t="s">
        <v>71</v>
      </c>
      <c r="C43" s="1312" t="s">
        <v>815</v>
      </c>
      <c r="D43" s="1313" t="s">
        <v>818</v>
      </c>
      <c r="E43" s="430" t="s">
        <v>13</v>
      </c>
      <c r="F43" s="429">
        <v>57555</v>
      </c>
      <c r="G43" s="432">
        <v>33525449</v>
      </c>
      <c r="H43" s="428"/>
    </row>
    <row r="44" spans="1:8" s="314" customFormat="1" ht="18" customHeight="1">
      <c r="A44" s="433"/>
      <c r="B44" s="433"/>
      <c r="C44" s="1307"/>
      <c r="D44" s="1310"/>
      <c r="E44" s="430" t="s">
        <v>14</v>
      </c>
      <c r="F44" s="429">
        <v>0</v>
      </c>
      <c r="G44" s="432">
        <v>15884287</v>
      </c>
      <c r="H44" s="428"/>
    </row>
    <row r="45" spans="1:8" s="314" customFormat="1" ht="18" customHeight="1">
      <c r="A45" s="433"/>
      <c r="B45" s="433"/>
      <c r="C45" s="1308"/>
      <c r="D45" s="1311"/>
      <c r="E45" s="430" t="s">
        <v>15</v>
      </c>
      <c r="F45" s="429">
        <f>F43+F44</f>
        <v>57555</v>
      </c>
      <c r="G45" s="429">
        <f>G43+G44</f>
        <v>49409736</v>
      </c>
      <c r="H45" s="428"/>
    </row>
    <row r="46" spans="1:8" s="314" customFormat="1" ht="18" hidden="1" customHeight="1">
      <c r="A46" s="434" t="s">
        <v>28</v>
      </c>
      <c r="B46" s="434" t="s">
        <v>123</v>
      </c>
      <c r="C46" s="1312" t="s">
        <v>813</v>
      </c>
      <c r="D46" s="1313" t="s">
        <v>817</v>
      </c>
      <c r="E46" s="430" t="s">
        <v>13</v>
      </c>
      <c r="F46" s="429">
        <v>449776</v>
      </c>
      <c r="G46" s="432">
        <v>5788981</v>
      </c>
      <c r="H46" s="428"/>
    </row>
    <row r="47" spans="1:8" s="314" customFormat="1" ht="18" hidden="1" customHeight="1">
      <c r="A47" s="433"/>
      <c r="B47" s="433"/>
      <c r="C47" s="1307"/>
      <c r="D47" s="1310"/>
      <c r="E47" s="430" t="s">
        <v>14</v>
      </c>
      <c r="F47" s="429">
        <v>0</v>
      </c>
      <c r="G47" s="432">
        <v>0</v>
      </c>
      <c r="H47" s="428"/>
    </row>
    <row r="48" spans="1:8" s="314" customFormat="1" ht="18" hidden="1" customHeight="1">
      <c r="A48" s="433"/>
      <c r="B48" s="433"/>
      <c r="C48" s="1308"/>
      <c r="D48" s="1311"/>
      <c r="E48" s="430" t="s">
        <v>15</v>
      </c>
      <c r="F48" s="429">
        <f>F46+F47</f>
        <v>449776</v>
      </c>
      <c r="G48" s="429">
        <f>G46+G47</f>
        <v>5788981</v>
      </c>
      <c r="H48" s="428"/>
    </row>
    <row r="49" spans="1:8" s="314" customFormat="1" ht="18" customHeight="1">
      <c r="A49" s="434" t="s">
        <v>28</v>
      </c>
      <c r="B49" s="434" t="s">
        <v>123</v>
      </c>
      <c r="C49" s="1312" t="s">
        <v>813</v>
      </c>
      <c r="D49" s="1313" t="s">
        <v>816</v>
      </c>
      <c r="E49" s="430" t="s">
        <v>13</v>
      </c>
      <c r="F49" s="429">
        <v>460000</v>
      </c>
      <c r="G49" s="432">
        <v>3400901</v>
      </c>
      <c r="H49" s="428"/>
    </row>
    <row r="50" spans="1:8" s="314" customFormat="1" ht="18" customHeight="1">
      <c r="A50" s="433"/>
      <c r="B50" s="433"/>
      <c r="C50" s="1307"/>
      <c r="D50" s="1310"/>
      <c r="E50" s="430" t="s">
        <v>14</v>
      </c>
      <c r="F50" s="429">
        <v>183921</v>
      </c>
      <c r="G50" s="432">
        <v>712892</v>
      </c>
      <c r="H50" s="428"/>
    </row>
    <row r="51" spans="1:8" s="314" customFormat="1" ht="18" customHeight="1">
      <c r="A51" s="431"/>
      <c r="B51" s="431"/>
      <c r="C51" s="1308"/>
      <c r="D51" s="1311"/>
      <c r="E51" s="430" t="s">
        <v>15</v>
      </c>
      <c r="F51" s="429">
        <f>F49+F50</f>
        <v>643921</v>
      </c>
      <c r="G51" s="429">
        <f>G49+G50</f>
        <v>4113793</v>
      </c>
      <c r="H51" s="428"/>
    </row>
    <row r="52" spans="1:8" s="314" customFormat="1" ht="18" hidden="1" customHeight="1">
      <c r="A52" s="434" t="s">
        <v>31</v>
      </c>
      <c r="B52" s="434" t="s">
        <v>150</v>
      </c>
      <c r="C52" s="1312" t="s">
        <v>815</v>
      </c>
      <c r="D52" s="1313" t="s">
        <v>814</v>
      </c>
      <c r="E52" s="430" t="s">
        <v>13</v>
      </c>
      <c r="F52" s="429">
        <v>680000</v>
      </c>
      <c r="G52" s="432">
        <v>680000</v>
      </c>
      <c r="H52" s="428"/>
    </row>
    <row r="53" spans="1:8" s="314" customFormat="1" ht="18" hidden="1" customHeight="1">
      <c r="A53" s="433"/>
      <c r="B53" s="433"/>
      <c r="C53" s="1307"/>
      <c r="D53" s="1310"/>
      <c r="E53" s="430" t="s">
        <v>14</v>
      </c>
      <c r="F53" s="429">
        <v>0</v>
      </c>
      <c r="G53" s="432">
        <v>0</v>
      </c>
      <c r="H53" s="428"/>
    </row>
    <row r="54" spans="1:8" s="314" customFormat="1" ht="18" hidden="1" customHeight="1">
      <c r="A54" s="431"/>
      <c r="B54" s="431"/>
      <c r="C54" s="1308"/>
      <c r="D54" s="1311"/>
      <c r="E54" s="430" t="s">
        <v>15</v>
      </c>
      <c r="F54" s="429">
        <f>F52+F53</f>
        <v>680000</v>
      </c>
      <c r="G54" s="429">
        <f>G52+G53</f>
        <v>680000</v>
      </c>
      <c r="H54" s="428"/>
    </row>
    <row r="55" spans="1:8" s="314" customFormat="1" ht="18" hidden="1" customHeight="1">
      <c r="A55" s="434" t="s">
        <v>258</v>
      </c>
      <c r="B55" s="434" t="s">
        <v>596</v>
      </c>
      <c r="C55" s="1312" t="s">
        <v>813</v>
      </c>
      <c r="D55" s="1313" t="s">
        <v>812</v>
      </c>
      <c r="E55" s="430" t="s">
        <v>13</v>
      </c>
      <c r="F55" s="429">
        <v>78000</v>
      </c>
      <c r="G55" s="432">
        <v>400000</v>
      </c>
      <c r="H55" s="428"/>
    </row>
    <row r="56" spans="1:8" s="314" customFormat="1" ht="18" hidden="1" customHeight="1">
      <c r="A56" s="433"/>
      <c r="B56" s="433"/>
      <c r="C56" s="1307"/>
      <c r="D56" s="1310"/>
      <c r="E56" s="430" t="s">
        <v>14</v>
      </c>
      <c r="F56" s="429">
        <v>0</v>
      </c>
      <c r="G56" s="432">
        <v>0</v>
      </c>
      <c r="H56" s="428"/>
    </row>
    <row r="57" spans="1:8" s="314" customFormat="1" ht="18" hidden="1" customHeight="1">
      <c r="A57" s="433"/>
      <c r="B57" s="433"/>
      <c r="C57" s="1308"/>
      <c r="D57" s="1311"/>
      <c r="E57" s="430" t="s">
        <v>15</v>
      </c>
      <c r="F57" s="429">
        <f>F55+F56</f>
        <v>78000</v>
      </c>
      <c r="G57" s="429">
        <f>G55+G56</f>
        <v>400000</v>
      </c>
      <c r="H57" s="428"/>
    </row>
    <row r="58" spans="1:8" s="314" customFormat="1" ht="18" hidden="1" customHeight="1">
      <c r="A58" s="434" t="s">
        <v>271</v>
      </c>
      <c r="B58" s="1314" t="s">
        <v>810</v>
      </c>
      <c r="C58" s="1312" t="s">
        <v>799</v>
      </c>
      <c r="D58" s="1313" t="s">
        <v>811</v>
      </c>
      <c r="E58" s="430" t="s">
        <v>13</v>
      </c>
      <c r="F58" s="429">
        <v>240000</v>
      </c>
      <c r="G58" s="432">
        <v>690000</v>
      </c>
      <c r="H58" s="428"/>
    </row>
    <row r="59" spans="1:8" s="314" customFormat="1" ht="18" hidden="1" customHeight="1">
      <c r="A59" s="433"/>
      <c r="B59" s="1315"/>
      <c r="C59" s="1307"/>
      <c r="D59" s="1310"/>
      <c r="E59" s="430" t="s">
        <v>14</v>
      </c>
      <c r="F59" s="429">
        <v>0</v>
      </c>
      <c r="G59" s="432">
        <v>0</v>
      </c>
      <c r="H59" s="428"/>
    </row>
    <row r="60" spans="1:8" s="314" customFormat="1" ht="18" hidden="1" customHeight="1">
      <c r="A60" s="433"/>
      <c r="B60" s="1316"/>
      <c r="C60" s="1308"/>
      <c r="D60" s="1311"/>
      <c r="E60" s="430" t="s">
        <v>15</v>
      </c>
      <c r="F60" s="429">
        <f>F58+F59</f>
        <v>240000</v>
      </c>
      <c r="G60" s="429">
        <f>G58+G59</f>
        <v>690000</v>
      </c>
      <c r="H60" s="428"/>
    </row>
    <row r="61" spans="1:8" s="314" customFormat="1" ht="18" hidden="1" customHeight="1">
      <c r="A61" s="433"/>
      <c r="B61" s="1314" t="s">
        <v>810</v>
      </c>
      <c r="C61" s="1312" t="s">
        <v>799</v>
      </c>
      <c r="D61" s="1313" t="s">
        <v>809</v>
      </c>
      <c r="E61" s="430" t="s">
        <v>13</v>
      </c>
      <c r="F61" s="429">
        <v>200000</v>
      </c>
      <c r="G61" s="432">
        <v>650000</v>
      </c>
      <c r="H61" s="428"/>
    </row>
    <row r="62" spans="1:8" s="314" customFormat="1" ht="18" hidden="1" customHeight="1">
      <c r="A62" s="433"/>
      <c r="B62" s="1315"/>
      <c r="C62" s="1307"/>
      <c r="D62" s="1310"/>
      <c r="E62" s="430" t="s">
        <v>14</v>
      </c>
      <c r="F62" s="429">
        <v>0</v>
      </c>
      <c r="G62" s="432">
        <v>0</v>
      </c>
      <c r="H62" s="428"/>
    </row>
    <row r="63" spans="1:8" s="314" customFormat="1" ht="18" hidden="1" customHeight="1">
      <c r="A63" s="433"/>
      <c r="B63" s="1316"/>
      <c r="C63" s="1308"/>
      <c r="D63" s="1311"/>
      <c r="E63" s="430" t="s">
        <v>15</v>
      </c>
      <c r="F63" s="429">
        <f>F61+F62</f>
        <v>200000</v>
      </c>
      <c r="G63" s="429">
        <f>G61+G62</f>
        <v>650000</v>
      </c>
      <c r="H63" s="428"/>
    </row>
    <row r="64" spans="1:8" s="314" customFormat="1" ht="18" hidden="1" customHeight="1">
      <c r="A64" s="433"/>
      <c r="B64" s="1314" t="s">
        <v>808</v>
      </c>
      <c r="C64" s="1312" t="s">
        <v>799</v>
      </c>
      <c r="D64" s="1313" t="s">
        <v>807</v>
      </c>
      <c r="E64" s="430" t="s">
        <v>13</v>
      </c>
      <c r="F64" s="429">
        <v>10000</v>
      </c>
      <c r="G64" s="432">
        <v>61000</v>
      </c>
      <c r="H64" s="428"/>
    </row>
    <row r="65" spans="1:8" s="314" customFormat="1" ht="18" hidden="1" customHeight="1">
      <c r="A65" s="433"/>
      <c r="B65" s="1315"/>
      <c r="C65" s="1307"/>
      <c r="D65" s="1310"/>
      <c r="E65" s="430" t="s">
        <v>14</v>
      </c>
      <c r="F65" s="429">
        <v>0</v>
      </c>
      <c r="G65" s="432">
        <v>0</v>
      </c>
      <c r="H65" s="428"/>
    </row>
    <row r="66" spans="1:8" s="314" customFormat="1" ht="18" hidden="1" customHeight="1">
      <c r="A66" s="433"/>
      <c r="B66" s="1316"/>
      <c r="C66" s="1308"/>
      <c r="D66" s="1311"/>
      <c r="E66" s="430" t="s">
        <v>15</v>
      </c>
      <c r="F66" s="429">
        <f>F64+F65</f>
        <v>10000</v>
      </c>
      <c r="G66" s="429">
        <f>G64+G65</f>
        <v>61000</v>
      </c>
      <c r="H66" s="428"/>
    </row>
    <row r="67" spans="1:8" s="314" customFormat="1" ht="18" hidden="1" customHeight="1">
      <c r="A67" s="433"/>
      <c r="B67" s="1314" t="s">
        <v>806</v>
      </c>
      <c r="C67" s="1312" t="s">
        <v>799</v>
      </c>
      <c r="D67" s="1313" t="s">
        <v>805</v>
      </c>
      <c r="E67" s="430" t="s">
        <v>13</v>
      </c>
      <c r="F67" s="429">
        <v>20000</v>
      </c>
      <c r="G67" s="432">
        <v>65000</v>
      </c>
      <c r="H67" s="428"/>
    </row>
    <row r="68" spans="1:8" s="314" customFormat="1" ht="18" hidden="1" customHeight="1">
      <c r="A68" s="433"/>
      <c r="B68" s="1315"/>
      <c r="C68" s="1307"/>
      <c r="D68" s="1310"/>
      <c r="E68" s="430" t="s">
        <v>14</v>
      </c>
      <c r="F68" s="429">
        <v>0</v>
      </c>
      <c r="G68" s="432">
        <v>0</v>
      </c>
      <c r="H68" s="428"/>
    </row>
    <row r="69" spans="1:8" s="314" customFormat="1" ht="18" hidden="1" customHeight="1">
      <c r="A69" s="433"/>
      <c r="B69" s="1316"/>
      <c r="C69" s="1308"/>
      <c r="D69" s="1311"/>
      <c r="E69" s="430" t="s">
        <v>15</v>
      </c>
      <c r="F69" s="429">
        <f>F67+F68</f>
        <v>20000</v>
      </c>
      <c r="G69" s="429">
        <f>G67+G68</f>
        <v>65000</v>
      </c>
      <c r="H69" s="428"/>
    </row>
    <row r="70" spans="1:8" s="314" customFormat="1" ht="18" customHeight="1">
      <c r="A70" s="433" t="s">
        <v>271</v>
      </c>
      <c r="B70" s="433" t="s">
        <v>367</v>
      </c>
      <c r="C70" s="1317" t="s">
        <v>799</v>
      </c>
      <c r="D70" s="1317" t="s">
        <v>368</v>
      </c>
      <c r="E70" s="430" t="s">
        <v>13</v>
      </c>
      <c r="F70" s="429">
        <v>0</v>
      </c>
      <c r="G70" s="432">
        <v>0</v>
      </c>
      <c r="H70" s="428"/>
    </row>
    <row r="71" spans="1:8" s="314" customFormat="1" ht="18" customHeight="1">
      <c r="A71" s="433"/>
      <c r="B71" s="433"/>
      <c r="C71" s="1318"/>
      <c r="D71" s="1318"/>
      <c r="E71" s="430" t="s">
        <v>14</v>
      </c>
      <c r="F71" s="429">
        <v>20000</v>
      </c>
      <c r="G71" s="432">
        <v>20000</v>
      </c>
      <c r="H71" s="428"/>
    </row>
    <row r="72" spans="1:8" s="314" customFormat="1" ht="18" customHeight="1">
      <c r="A72" s="433"/>
      <c r="B72" s="433"/>
      <c r="C72" s="1319"/>
      <c r="D72" s="1319"/>
      <c r="E72" s="430" t="s">
        <v>15</v>
      </c>
      <c r="F72" s="429">
        <f>F70+F71</f>
        <v>20000</v>
      </c>
      <c r="G72" s="429">
        <f>G70+G71</f>
        <v>20000</v>
      </c>
      <c r="H72" s="428"/>
    </row>
    <row r="73" spans="1:8" s="314" customFormat="1" ht="18" hidden="1" customHeight="1">
      <c r="A73" s="433"/>
      <c r="B73" s="434" t="s">
        <v>277</v>
      </c>
      <c r="C73" s="1312" t="s">
        <v>804</v>
      </c>
      <c r="D73" s="1313" t="s">
        <v>803</v>
      </c>
      <c r="E73" s="430" t="s">
        <v>13</v>
      </c>
      <c r="F73" s="429">
        <v>71122</v>
      </c>
      <c r="G73" s="432">
        <v>942472</v>
      </c>
      <c r="H73" s="428"/>
    </row>
    <row r="74" spans="1:8" s="314" customFormat="1" ht="18" hidden="1" customHeight="1">
      <c r="A74" s="433"/>
      <c r="B74" s="433"/>
      <c r="C74" s="1307"/>
      <c r="D74" s="1310"/>
      <c r="E74" s="430" t="s">
        <v>14</v>
      </c>
      <c r="F74" s="429">
        <v>0</v>
      </c>
      <c r="G74" s="432">
        <v>0</v>
      </c>
      <c r="H74" s="428"/>
    </row>
    <row r="75" spans="1:8" s="314" customFormat="1" ht="18" hidden="1" customHeight="1">
      <c r="A75" s="433"/>
      <c r="B75" s="433"/>
      <c r="C75" s="1308"/>
      <c r="D75" s="1311"/>
      <c r="E75" s="430" t="s">
        <v>15</v>
      </c>
      <c r="F75" s="429">
        <f>F73+F74</f>
        <v>71122</v>
      </c>
      <c r="G75" s="429">
        <f>G73+G74</f>
        <v>942472</v>
      </c>
      <c r="H75" s="428"/>
    </row>
    <row r="76" spans="1:8" s="314" customFormat="1" ht="18" hidden="1" customHeight="1">
      <c r="A76" s="433"/>
      <c r="B76" s="434" t="s">
        <v>283</v>
      </c>
      <c r="C76" s="1317" t="s">
        <v>799</v>
      </c>
      <c r="D76" s="1317" t="s">
        <v>802</v>
      </c>
      <c r="E76" s="430" t="s">
        <v>13</v>
      </c>
      <c r="F76" s="429">
        <v>2300000</v>
      </c>
      <c r="G76" s="432">
        <v>11884000</v>
      </c>
      <c r="H76" s="428"/>
    </row>
    <row r="77" spans="1:8" s="314" customFormat="1" ht="18" hidden="1" customHeight="1">
      <c r="A77" s="433"/>
      <c r="B77" s="433"/>
      <c r="C77" s="1318"/>
      <c r="D77" s="1318"/>
      <c r="E77" s="430" t="s">
        <v>14</v>
      </c>
      <c r="F77" s="429">
        <v>0</v>
      </c>
      <c r="G77" s="432">
        <v>0</v>
      </c>
      <c r="H77" s="428"/>
    </row>
    <row r="78" spans="1:8" s="314" customFormat="1" ht="18" hidden="1" customHeight="1">
      <c r="A78" s="433"/>
      <c r="B78" s="433"/>
      <c r="C78" s="1319"/>
      <c r="D78" s="1319"/>
      <c r="E78" s="430" t="s">
        <v>15</v>
      </c>
      <c r="F78" s="429">
        <f>F76+F77</f>
        <v>2300000</v>
      </c>
      <c r="G78" s="429">
        <f>G76+G77</f>
        <v>11884000</v>
      </c>
      <c r="H78" s="428"/>
    </row>
    <row r="79" spans="1:8" s="314" customFormat="1" ht="18" customHeight="1">
      <c r="A79" s="433"/>
      <c r="B79" s="434" t="s">
        <v>283</v>
      </c>
      <c r="C79" s="1317" t="s">
        <v>799</v>
      </c>
      <c r="D79" s="1317" t="s">
        <v>801</v>
      </c>
      <c r="E79" s="430" t="s">
        <v>13</v>
      </c>
      <c r="F79" s="429">
        <v>0</v>
      </c>
      <c r="G79" s="432">
        <v>0</v>
      </c>
      <c r="H79" s="428"/>
    </row>
    <row r="80" spans="1:8" s="314" customFormat="1" ht="18" customHeight="1">
      <c r="A80" s="433"/>
      <c r="B80" s="433"/>
      <c r="C80" s="1318"/>
      <c r="D80" s="1318"/>
      <c r="E80" s="430" t="s">
        <v>14</v>
      </c>
      <c r="F80" s="429">
        <v>9000</v>
      </c>
      <c r="G80" s="432">
        <v>9000</v>
      </c>
      <c r="H80" s="428"/>
    </row>
    <row r="81" spans="1:14" s="314" customFormat="1" ht="18" customHeight="1">
      <c r="A81" s="433"/>
      <c r="B81" s="433"/>
      <c r="C81" s="1319"/>
      <c r="D81" s="1319"/>
      <c r="E81" s="430" t="s">
        <v>15</v>
      </c>
      <c r="F81" s="429">
        <f>F79+F80</f>
        <v>9000</v>
      </c>
      <c r="G81" s="429">
        <f>G79+G80</f>
        <v>9000</v>
      </c>
      <c r="H81" s="428"/>
    </row>
    <row r="82" spans="1:14" s="314" customFormat="1" ht="18" customHeight="1">
      <c r="A82" s="433"/>
      <c r="B82" s="433"/>
      <c r="C82" s="1317" t="s">
        <v>799</v>
      </c>
      <c r="D82" s="1317" t="s">
        <v>800</v>
      </c>
      <c r="E82" s="430" t="s">
        <v>13</v>
      </c>
      <c r="F82" s="429">
        <v>0</v>
      </c>
      <c r="G82" s="432">
        <v>0</v>
      </c>
      <c r="H82" s="428"/>
    </row>
    <row r="83" spans="1:14" s="314" customFormat="1" ht="18" customHeight="1">
      <c r="A83" s="433"/>
      <c r="B83" s="433"/>
      <c r="C83" s="1318"/>
      <c r="D83" s="1318"/>
      <c r="E83" s="430" t="s">
        <v>14</v>
      </c>
      <c r="F83" s="429">
        <v>38600</v>
      </c>
      <c r="G83" s="432">
        <v>38600</v>
      </c>
      <c r="H83" s="428"/>
    </row>
    <row r="84" spans="1:14" s="314" customFormat="1" ht="18" customHeight="1">
      <c r="A84" s="433"/>
      <c r="B84" s="433"/>
      <c r="C84" s="1319"/>
      <c r="D84" s="1319"/>
      <c r="E84" s="430" t="s">
        <v>15</v>
      </c>
      <c r="F84" s="429">
        <f>F82+F83</f>
        <v>38600</v>
      </c>
      <c r="G84" s="429">
        <f>G82+G83</f>
        <v>38600</v>
      </c>
      <c r="H84" s="428"/>
    </row>
    <row r="85" spans="1:14" s="314" customFormat="1" ht="18" customHeight="1">
      <c r="A85" s="433"/>
      <c r="B85" s="433"/>
      <c r="C85" s="1317" t="s">
        <v>799</v>
      </c>
      <c r="D85" s="1317" t="s">
        <v>798</v>
      </c>
      <c r="E85" s="430" t="s">
        <v>13</v>
      </c>
      <c r="F85" s="429">
        <v>0</v>
      </c>
      <c r="G85" s="432">
        <v>0</v>
      </c>
      <c r="H85" s="428"/>
    </row>
    <row r="86" spans="1:14" s="314" customFormat="1" ht="18" customHeight="1">
      <c r="A86" s="433"/>
      <c r="B86" s="433"/>
      <c r="C86" s="1318"/>
      <c r="D86" s="1318"/>
      <c r="E86" s="430" t="s">
        <v>14</v>
      </c>
      <c r="F86" s="429">
        <v>134000</v>
      </c>
      <c r="G86" s="432">
        <v>134000</v>
      </c>
      <c r="H86" s="428"/>
    </row>
    <row r="87" spans="1:14" s="314" customFormat="1" ht="18" customHeight="1">
      <c r="A87" s="431"/>
      <c r="B87" s="431"/>
      <c r="C87" s="1319"/>
      <c r="D87" s="1319"/>
      <c r="E87" s="430" t="s">
        <v>15</v>
      </c>
      <c r="F87" s="429">
        <f>F85+F86</f>
        <v>134000</v>
      </c>
      <c r="G87" s="429">
        <f>G85+G86</f>
        <v>134000</v>
      </c>
      <c r="H87" s="428"/>
    </row>
    <row r="88" spans="1:14" s="314" customFormat="1" ht="18" hidden="1" customHeight="1">
      <c r="A88" s="433"/>
      <c r="B88" s="433"/>
      <c r="C88" s="1317" t="s">
        <v>797</v>
      </c>
      <c r="D88" s="1317" t="s">
        <v>796</v>
      </c>
      <c r="E88" s="430" t="s">
        <v>13</v>
      </c>
      <c r="F88" s="429">
        <v>1400000</v>
      </c>
      <c r="G88" s="432">
        <v>10017300</v>
      </c>
      <c r="H88" s="428"/>
    </row>
    <row r="89" spans="1:14" s="314" customFormat="1" ht="18" hidden="1" customHeight="1">
      <c r="A89" s="433"/>
      <c r="B89" s="433"/>
      <c r="C89" s="1318"/>
      <c r="D89" s="1318"/>
      <c r="E89" s="430" t="s">
        <v>14</v>
      </c>
      <c r="F89" s="429">
        <v>0</v>
      </c>
      <c r="G89" s="432">
        <v>0</v>
      </c>
      <c r="H89" s="428"/>
    </row>
    <row r="90" spans="1:14" s="314" customFormat="1" ht="18" hidden="1" customHeight="1">
      <c r="A90" s="431"/>
      <c r="B90" s="431"/>
      <c r="C90" s="1319"/>
      <c r="D90" s="1319"/>
      <c r="E90" s="430" t="s">
        <v>15</v>
      </c>
      <c r="F90" s="429">
        <f>F88+F89</f>
        <v>1400000</v>
      </c>
      <c r="G90" s="429">
        <f>G88+G89</f>
        <v>10017300</v>
      </c>
      <c r="H90" s="428"/>
    </row>
    <row r="91" spans="1:14" ht="15">
      <c r="A91" s="297" t="s">
        <v>523</v>
      </c>
      <c r="B91" s="296"/>
      <c r="C91" s="295"/>
      <c r="D91" s="296"/>
      <c r="E91" s="296"/>
      <c r="F91" s="295"/>
      <c r="H91" s="286"/>
      <c r="I91" s="285"/>
      <c r="J91" s="285"/>
      <c r="K91" s="285"/>
      <c r="L91" s="285"/>
      <c r="M91" s="285"/>
      <c r="N91" s="285"/>
    </row>
    <row r="92" spans="1:14" s="298" customFormat="1" ht="20.25" customHeight="1">
      <c r="A92" s="294" t="s">
        <v>795</v>
      </c>
      <c r="B92" s="293"/>
      <c r="C92" s="292"/>
      <c r="D92" s="293"/>
      <c r="E92" s="293"/>
      <c r="F92" s="292"/>
      <c r="G92" s="417"/>
      <c r="H92" s="415"/>
      <c r="I92" s="427"/>
      <c r="J92" s="427"/>
      <c r="K92" s="427"/>
      <c r="L92" s="427"/>
      <c r="M92" s="427"/>
      <c r="N92" s="427"/>
    </row>
    <row r="93" spans="1:14" ht="12.75" customHeight="1">
      <c r="A93" s="291" t="s">
        <v>794</v>
      </c>
    </row>
    <row r="94" spans="1:14" s="426" customFormat="1" ht="12.75" customHeight="1">
      <c r="A94" s="291" t="s">
        <v>793</v>
      </c>
      <c r="B94" s="289"/>
      <c r="C94" s="288"/>
      <c r="D94" s="288"/>
      <c r="E94" s="287"/>
      <c r="F94" s="285"/>
      <c r="G94" s="295"/>
      <c r="H94" s="295"/>
    </row>
    <row r="95" spans="1:14" ht="12.75" customHeight="1">
      <c r="A95" s="291" t="s">
        <v>792</v>
      </c>
    </row>
    <row r="96" spans="1:14" ht="24.75" customHeight="1"/>
    <row r="97" spans="1:8" s="426" customFormat="1" ht="21" customHeight="1">
      <c r="A97" s="289"/>
      <c r="B97" s="289"/>
      <c r="C97" s="288"/>
      <c r="D97" s="288"/>
      <c r="E97" s="287"/>
      <c r="F97" s="285"/>
      <c r="G97" s="295"/>
      <c r="H97" s="295"/>
    </row>
    <row r="99" spans="1:8" ht="9" customHeight="1"/>
    <row r="100" spans="1:8" s="307" customFormat="1" ht="35.25" customHeight="1">
      <c r="A100" s="289"/>
      <c r="B100" s="289"/>
      <c r="C100" s="288"/>
      <c r="D100" s="288"/>
      <c r="E100" s="287"/>
      <c r="F100" s="285"/>
    </row>
    <row r="101" spans="1:8" s="425" customFormat="1" ht="22.5" customHeight="1">
      <c r="A101" s="289"/>
      <c r="B101" s="289"/>
      <c r="C101" s="288"/>
      <c r="D101" s="288"/>
      <c r="E101" s="287"/>
      <c r="F101" s="285"/>
      <c r="G101" s="292"/>
      <c r="H101" s="292"/>
    </row>
    <row r="102" spans="1:8" ht="41.25" customHeight="1"/>
    <row r="103" spans="1:8" s="307" customFormat="1" ht="21.75" customHeight="1">
      <c r="A103" s="289"/>
      <c r="B103" s="289"/>
      <c r="C103" s="288"/>
      <c r="D103" s="288"/>
      <c r="E103" s="287"/>
      <c r="F103" s="285"/>
    </row>
    <row r="104" spans="1:8" ht="21.75" customHeight="1">
      <c r="G104" s="284"/>
      <c r="H104" s="284"/>
    </row>
    <row r="105" spans="1:8" ht="24.75" customHeight="1">
      <c r="G105" s="284"/>
      <c r="H105" s="284"/>
    </row>
    <row r="106" spans="1:8" ht="12" customHeight="1">
      <c r="G106" s="284"/>
      <c r="H106" s="284"/>
    </row>
    <row r="107" spans="1:8" s="424" customFormat="1" ht="30.75" customHeight="1">
      <c r="A107" s="289"/>
      <c r="B107" s="289"/>
      <c r="C107" s="288"/>
      <c r="D107" s="288"/>
      <c r="E107" s="287"/>
      <c r="F107" s="285"/>
    </row>
    <row r="108" spans="1:8" s="307" customFormat="1" ht="21.75" customHeight="1">
      <c r="A108" s="289"/>
      <c r="B108" s="289"/>
      <c r="C108" s="288"/>
      <c r="D108" s="288"/>
      <c r="E108" s="287"/>
      <c r="F108" s="285"/>
    </row>
    <row r="109" spans="1:8" s="423" customFormat="1" ht="21.75" customHeight="1">
      <c r="A109" s="289"/>
      <c r="B109" s="289"/>
      <c r="C109" s="288"/>
      <c r="D109" s="288"/>
      <c r="E109" s="287"/>
      <c r="F109" s="285"/>
    </row>
    <row r="110" spans="1:8" s="423" customFormat="1" ht="21.75" customHeight="1">
      <c r="A110" s="289"/>
      <c r="B110" s="289"/>
      <c r="C110" s="288"/>
      <c r="D110" s="288"/>
      <c r="E110" s="287"/>
      <c r="F110" s="285"/>
    </row>
    <row r="112" spans="1:8" s="372" customFormat="1" ht="24" customHeight="1">
      <c r="A112" s="289"/>
      <c r="B112" s="289"/>
      <c r="C112" s="288"/>
      <c r="D112" s="288"/>
      <c r="E112" s="287"/>
      <c r="F112" s="285"/>
      <c r="G112" s="422"/>
      <c r="H112" s="422"/>
    </row>
    <row r="113" spans="1:8" s="372" customFormat="1" ht="24" customHeight="1">
      <c r="A113" s="289"/>
      <c r="B113" s="289"/>
      <c r="C113" s="288"/>
      <c r="D113" s="288"/>
      <c r="E113" s="287"/>
      <c r="F113" s="285"/>
      <c r="G113" s="422"/>
      <c r="H113" s="422"/>
    </row>
    <row r="114" spans="1:8" s="298" customFormat="1" ht="24" customHeight="1">
      <c r="A114" s="289"/>
      <c r="B114" s="289"/>
      <c r="C114" s="288"/>
      <c r="D114" s="288"/>
      <c r="E114" s="287"/>
      <c r="F114" s="285"/>
      <c r="G114" s="417"/>
      <c r="H114" s="417"/>
    </row>
    <row r="115" spans="1:8" s="298" customFormat="1" ht="24" customHeight="1">
      <c r="A115" s="289"/>
      <c r="B115" s="289"/>
      <c r="C115" s="288"/>
      <c r="D115" s="288"/>
      <c r="E115" s="287"/>
      <c r="F115" s="285"/>
      <c r="G115" s="417"/>
      <c r="H115" s="417"/>
    </row>
    <row r="116" spans="1:8" s="372" customFormat="1" ht="21" customHeight="1">
      <c r="A116" s="289"/>
      <c r="B116" s="289"/>
      <c r="C116" s="288"/>
      <c r="D116" s="288"/>
      <c r="E116" s="287"/>
      <c r="F116" s="285"/>
      <c r="G116" s="422"/>
      <c r="H116" s="422"/>
    </row>
    <row r="117" spans="1:8" ht="19.5" customHeight="1"/>
    <row r="118" spans="1:8" ht="21.75" customHeight="1"/>
  </sheetData>
  <sheetProtection password="C25B" sheet="1" objects="1" scenarios="1"/>
  <mergeCells count="68">
    <mergeCell ref="C73:C75"/>
    <mergeCell ref="D73:D75"/>
    <mergeCell ref="C88:C90"/>
    <mergeCell ref="D88:D90"/>
    <mergeCell ref="C79:C81"/>
    <mergeCell ref="D79:D81"/>
    <mergeCell ref="C82:C84"/>
    <mergeCell ref="D82:D84"/>
    <mergeCell ref="C85:C87"/>
    <mergeCell ref="D85:D87"/>
    <mergeCell ref="C76:C78"/>
    <mergeCell ref="D76:D78"/>
    <mergeCell ref="B61:B63"/>
    <mergeCell ref="C61:C63"/>
    <mergeCell ref="D61:D63"/>
    <mergeCell ref="C55:C57"/>
    <mergeCell ref="C70:C72"/>
    <mergeCell ref="D70:D72"/>
    <mergeCell ref="B67:B69"/>
    <mergeCell ref="C67:C69"/>
    <mergeCell ref="D67:D69"/>
    <mergeCell ref="C46:C48"/>
    <mergeCell ref="D46:D48"/>
    <mergeCell ref="C49:C51"/>
    <mergeCell ref="D49:D51"/>
    <mergeCell ref="C52:C54"/>
    <mergeCell ref="D52:D54"/>
    <mergeCell ref="D55:D57"/>
    <mergeCell ref="B58:B60"/>
    <mergeCell ref="C58:C60"/>
    <mergeCell ref="D58:D60"/>
    <mergeCell ref="B64:B66"/>
    <mergeCell ref="C64:C66"/>
    <mergeCell ref="D64:D66"/>
    <mergeCell ref="C37:C39"/>
    <mergeCell ref="D37:D39"/>
    <mergeCell ref="C40:C42"/>
    <mergeCell ref="D40:D42"/>
    <mergeCell ref="C43:C45"/>
    <mergeCell ref="D43:D45"/>
    <mergeCell ref="C28:C30"/>
    <mergeCell ref="D28:D30"/>
    <mergeCell ref="C31:C33"/>
    <mergeCell ref="D31:D33"/>
    <mergeCell ref="C34:C36"/>
    <mergeCell ref="D34:D36"/>
    <mergeCell ref="C19:C21"/>
    <mergeCell ref="D19:D21"/>
    <mergeCell ref="C22:C24"/>
    <mergeCell ref="D22:D24"/>
    <mergeCell ref="C25:C27"/>
    <mergeCell ref="D25:D27"/>
    <mergeCell ref="A9:D11"/>
    <mergeCell ref="A12:G12"/>
    <mergeCell ref="C13:C15"/>
    <mergeCell ref="D13:D15"/>
    <mergeCell ref="C16:C18"/>
    <mergeCell ref="D16:D18"/>
    <mergeCell ref="E1:G1"/>
    <mergeCell ref="E2:G2"/>
    <mergeCell ref="D3:G3"/>
    <mergeCell ref="A4:G4"/>
    <mergeCell ref="A6:A7"/>
    <mergeCell ref="B6:B7"/>
    <mergeCell ref="C6:D6"/>
    <mergeCell ref="E6:E7"/>
    <mergeCell ref="F6:F7"/>
    <mergeCell ref="G6:G7"/>
  </mergeCells>
  <printOptions horizontalCentered="1"/>
  <pageMargins left="0.59055118110236227" right="0.70866141732283472" top="0.98425196850393704" bottom="0.74803149606299213" header="0" footer="0.19685039370078741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22"/>
  <sheetViews>
    <sheetView tabSelected="1" view="pageBreakPreview" zoomScale="118" zoomScaleNormal="100" zoomScaleSheetLayoutView="118" workbookViewId="0">
      <selection activeCell="D121" sqref="D121"/>
    </sheetView>
  </sheetViews>
  <sheetFormatPr defaultColWidth="9" defaultRowHeight="15"/>
  <cols>
    <col min="1" max="1" width="4.75" style="585" customWidth="1"/>
    <col min="2" max="2" width="8.5" style="585" customWidth="1"/>
    <col min="3" max="3" width="44.25" style="588" customWidth="1"/>
    <col min="4" max="4" width="11.875" style="588" customWidth="1"/>
    <col min="5" max="6" width="10.875" style="588" customWidth="1"/>
    <col min="7" max="7" width="11.375" style="588" customWidth="1"/>
    <col min="8" max="8" width="11.625" style="588" customWidth="1"/>
    <col min="9" max="10" width="10.875" style="588" customWidth="1"/>
    <col min="11" max="11" width="11.375" style="588" customWidth="1"/>
    <col min="12" max="16384" width="9" style="588"/>
  </cols>
  <sheetData>
    <row r="1" spans="1:11" ht="12.75" customHeight="1">
      <c r="B1" s="586"/>
      <c r="C1" s="1323"/>
      <c r="D1" s="1323"/>
      <c r="E1" s="1323"/>
      <c r="F1" s="1323"/>
      <c r="G1" s="1323"/>
      <c r="H1" s="1323"/>
      <c r="I1" s="587" t="s">
        <v>1225</v>
      </c>
    </row>
    <row r="2" spans="1:11" ht="12.75" customHeight="1">
      <c r="B2" s="586"/>
      <c r="C2" s="1323"/>
      <c r="D2" s="1323"/>
      <c r="E2" s="1323"/>
      <c r="F2" s="1323"/>
      <c r="G2" s="1323"/>
      <c r="H2" s="1323"/>
      <c r="I2" s="587" t="s">
        <v>1227</v>
      </c>
    </row>
    <row r="3" spans="1:11" ht="12.75" customHeight="1">
      <c r="B3" s="586"/>
      <c r="C3" s="1323"/>
      <c r="D3" s="1323"/>
      <c r="E3" s="1323"/>
      <c r="F3" s="1323"/>
      <c r="G3" s="1323"/>
      <c r="H3" s="1323"/>
      <c r="I3" s="587" t="s">
        <v>1226</v>
      </c>
    </row>
    <row r="4" spans="1:11" ht="4.5" customHeight="1"/>
    <row r="5" spans="1:11" s="589" customFormat="1" ht="36.75" customHeight="1">
      <c r="A5" s="1324" t="s">
        <v>1170</v>
      </c>
      <c r="B5" s="1324"/>
      <c r="C5" s="1324"/>
      <c r="D5" s="1324"/>
      <c r="E5" s="1324"/>
      <c r="F5" s="1324"/>
      <c r="G5" s="1324"/>
      <c r="H5" s="1324"/>
      <c r="I5" s="1324"/>
      <c r="J5" s="1324"/>
      <c r="K5" s="1324"/>
    </row>
    <row r="6" spans="1:11" s="589" customFormat="1" ht="12" customHeight="1">
      <c r="A6" s="1325"/>
      <c r="B6" s="1325"/>
      <c r="C6" s="1325"/>
      <c r="D6" s="1325"/>
      <c r="E6" s="1325"/>
      <c r="F6" s="1325"/>
      <c r="G6" s="1325"/>
      <c r="H6" s="1325"/>
      <c r="I6" s="1325"/>
      <c r="J6" s="1325"/>
      <c r="K6" s="1325"/>
    </row>
    <row r="7" spans="1:11" ht="11.25" customHeight="1">
      <c r="A7" s="590"/>
      <c r="B7" s="590"/>
      <c r="C7" s="591"/>
      <c r="D7" s="592"/>
      <c r="E7" s="592"/>
      <c r="F7" s="592"/>
      <c r="G7" s="592"/>
      <c r="H7" s="593"/>
      <c r="K7" s="593" t="s">
        <v>0</v>
      </c>
    </row>
    <row r="8" spans="1:11" ht="15" customHeight="1">
      <c r="A8" s="1326" t="s">
        <v>908</v>
      </c>
      <c r="B8" s="1328" t="s">
        <v>1171</v>
      </c>
      <c r="C8" s="1330" t="s">
        <v>1172</v>
      </c>
      <c r="D8" s="1332" t="s">
        <v>852</v>
      </c>
      <c r="E8" s="1333"/>
      <c r="F8" s="1333"/>
      <c r="G8" s="1334"/>
      <c r="H8" s="1335" t="s">
        <v>871</v>
      </c>
      <c r="I8" s="1336"/>
      <c r="J8" s="1336"/>
      <c r="K8" s="1337"/>
    </row>
    <row r="9" spans="1:11" s="599" customFormat="1" ht="37.5" customHeight="1">
      <c r="A9" s="1327"/>
      <c r="B9" s="1329"/>
      <c r="C9" s="1331"/>
      <c r="D9" s="815" t="s">
        <v>1173</v>
      </c>
      <c r="E9" s="594" t="s">
        <v>1174</v>
      </c>
      <c r="F9" s="595" t="s">
        <v>1175</v>
      </c>
      <c r="G9" s="596" t="s">
        <v>1176</v>
      </c>
      <c r="H9" s="815" t="s">
        <v>1173</v>
      </c>
      <c r="I9" s="597" t="s">
        <v>1174</v>
      </c>
      <c r="J9" s="594" t="s">
        <v>1175</v>
      </c>
      <c r="K9" s="598" t="s">
        <v>1176</v>
      </c>
    </row>
    <row r="10" spans="1:11" s="605" customFormat="1" ht="27.75" hidden="1" customHeight="1">
      <c r="A10" s="600">
        <v>1</v>
      </c>
      <c r="B10" s="601"/>
      <c r="C10" s="602" t="s">
        <v>1177</v>
      </c>
      <c r="D10" s="603">
        <f>D11</f>
        <v>6080000</v>
      </c>
      <c r="E10" s="603">
        <f>SUM(E11:E13)</f>
        <v>0</v>
      </c>
      <c r="F10" s="603">
        <f>SUM(F11:F13)</f>
        <v>0</v>
      </c>
      <c r="G10" s="603">
        <f>D10+E10-F10</f>
        <v>6080000</v>
      </c>
      <c r="H10" s="603">
        <f>H14</f>
        <v>8080000</v>
      </c>
      <c r="I10" s="604">
        <f>I14</f>
        <v>0</v>
      </c>
      <c r="J10" s="604">
        <f>J14</f>
        <v>0</v>
      </c>
      <c r="K10" s="604">
        <f>H10+I10-J10</f>
        <v>8080000</v>
      </c>
    </row>
    <row r="11" spans="1:11" s="611" customFormat="1" ht="18.75" hidden="1" customHeight="1">
      <c r="A11" s="606"/>
      <c r="B11" s="607" t="s">
        <v>18</v>
      </c>
      <c r="C11" s="608" t="s">
        <v>1178</v>
      </c>
      <c r="D11" s="609">
        <f>D12+D13</f>
        <v>6080000</v>
      </c>
      <c r="E11" s="609">
        <f t="shared" ref="E11:F11" si="0">E12+E13</f>
        <v>0</v>
      </c>
      <c r="F11" s="609">
        <f t="shared" si="0"/>
        <v>0</v>
      </c>
      <c r="G11" s="609">
        <f>D11+E11-F11</f>
        <v>6080000</v>
      </c>
      <c r="H11" s="610"/>
      <c r="J11" s="612"/>
      <c r="K11" s="612"/>
    </row>
    <row r="12" spans="1:11" s="611" customFormat="1" ht="16.5" hidden="1" customHeight="1">
      <c r="A12" s="606"/>
      <c r="B12" s="613" t="s">
        <v>1179</v>
      </c>
      <c r="C12" s="614" t="s">
        <v>1180</v>
      </c>
      <c r="D12" s="615">
        <v>6000000</v>
      </c>
      <c r="E12" s="615"/>
      <c r="F12" s="615"/>
      <c r="G12" s="615">
        <f>D12+E12-F12</f>
        <v>6000000</v>
      </c>
      <c r="H12" s="616"/>
      <c r="I12" s="617"/>
      <c r="J12" s="616"/>
      <c r="K12" s="616"/>
    </row>
    <row r="13" spans="1:11" s="611" customFormat="1" ht="24.75" hidden="1" customHeight="1">
      <c r="A13" s="606"/>
      <c r="B13" s="618" t="s">
        <v>499</v>
      </c>
      <c r="C13" s="619" t="s">
        <v>498</v>
      </c>
      <c r="D13" s="620">
        <v>80000</v>
      </c>
      <c r="E13" s="620"/>
      <c r="F13" s="620"/>
      <c r="G13" s="620">
        <f>D13+E13-F13</f>
        <v>80000</v>
      </c>
      <c r="H13" s="621"/>
      <c r="I13" s="622"/>
      <c r="J13" s="623"/>
      <c r="K13" s="623"/>
    </row>
    <row r="14" spans="1:11" s="611" customFormat="1" ht="15" hidden="1" customHeight="1">
      <c r="A14" s="606"/>
      <c r="B14" s="607" t="s">
        <v>18</v>
      </c>
      <c r="C14" s="608" t="s">
        <v>627</v>
      </c>
      <c r="D14" s="610"/>
      <c r="E14" s="610"/>
      <c r="F14" s="610"/>
      <c r="G14" s="624"/>
      <c r="H14" s="609">
        <f>SUM(H15:H24)</f>
        <v>8080000</v>
      </c>
      <c r="I14" s="609">
        <f t="shared" ref="I14:J14" si="1">SUM(I15:I24)</f>
        <v>0</v>
      </c>
      <c r="J14" s="609">
        <f t="shared" si="1"/>
        <v>0</v>
      </c>
      <c r="K14" s="625">
        <f>H14+I14-J14</f>
        <v>8080000</v>
      </c>
    </row>
    <row r="15" spans="1:11" s="611" customFormat="1" ht="15" hidden="1" customHeight="1">
      <c r="A15" s="606"/>
      <c r="B15" s="626">
        <v>4010</v>
      </c>
      <c r="C15" s="614" t="s">
        <v>386</v>
      </c>
      <c r="D15" s="616"/>
      <c r="E15" s="616"/>
      <c r="F15" s="616"/>
      <c r="G15" s="616"/>
      <c r="H15" s="627">
        <v>439576</v>
      </c>
      <c r="I15" s="628"/>
      <c r="J15" s="629">
        <v>0</v>
      </c>
      <c r="K15" s="615">
        <f>H15+I15-J15</f>
        <v>439576</v>
      </c>
    </row>
    <row r="16" spans="1:11" s="611" customFormat="1" ht="15" hidden="1" customHeight="1">
      <c r="A16" s="606"/>
      <c r="B16" s="626">
        <v>4040</v>
      </c>
      <c r="C16" s="614" t="s">
        <v>399</v>
      </c>
      <c r="D16" s="616"/>
      <c r="E16" s="616"/>
      <c r="F16" s="616"/>
      <c r="G16" s="616"/>
      <c r="H16" s="627">
        <v>37824</v>
      </c>
      <c r="I16" s="628">
        <v>0</v>
      </c>
      <c r="J16" s="616"/>
      <c r="K16" s="620">
        <f>H16+I16-J16</f>
        <v>37824</v>
      </c>
    </row>
    <row r="17" spans="1:15" s="611" customFormat="1" ht="15" hidden="1" customHeight="1">
      <c r="A17" s="606"/>
      <c r="B17" s="626">
        <v>4110</v>
      </c>
      <c r="C17" s="630" t="s">
        <v>387</v>
      </c>
      <c r="D17" s="616"/>
      <c r="E17" s="616"/>
      <c r="F17" s="616"/>
      <c r="G17" s="616"/>
      <c r="H17" s="627">
        <v>82065</v>
      </c>
      <c r="I17" s="617"/>
      <c r="J17" s="616"/>
      <c r="K17" s="615">
        <f t="shared" ref="K17:K24" si="2">H17+I17-J17</f>
        <v>82065</v>
      </c>
    </row>
    <row r="18" spans="1:15" s="611" customFormat="1" ht="15" hidden="1" customHeight="1">
      <c r="A18" s="606"/>
      <c r="B18" s="626">
        <v>4120</v>
      </c>
      <c r="C18" s="631" t="s">
        <v>388</v>
      </c>
      <c r="D18" s="616"/>
      <c r="E18" s="616"/>
      <c r="F18" s="616"/>
      <c r="G18" s="616"/>
      <c r="H18" s="627">
        <v>11696</v>
      </c>
      <c r="I18" s="617"/>
      <c r="J18" s="616"/>
      <c r="K18" s="620">
        <f t="shared" si="2"/>
        <v>11696</v>
      </c>
    </row>
    <row r="19" spans="1:15" s="611" customFormat="1" ht="15" hidden="1" customHeight="1">
      <c r="A19" s="606"/>
      <c r="B19" s="626">
        <v>4210</v>
      </c>
      <c r="C19" s="630" t="s">
        <v>390</v>
      </c>
      <c r="D19" s="616"/>
      <c r="E19" s="616"/>
      <c r="F19" s="616"/>
      <c r="G19" s="616"/>
      <c r="H19" s="627">
        <v>15000</v>
      </c>
      <c r="I19" s="617"/>
      <c r="J19" s="616"/>
      <c r="K19" s="615">
        <f t="shared" si="2"/>
        <v>15000</v>
      </c>
    </row>
    <row r="20" spans="1:15" s="611" customFormat="1" ht="15" hidden="1" customHeight="1">
      <c r="A20" s="606"/>
      <c r="B20" s="626">
        <v>4300</v>
      </c>
      <c r="C20" s="630" t="s">
        <v>391</v>
      </c>
      <c r="D20" s="616"/>
      <c r="E20" s="616"/>
      <c r="F20" s="616"/>
      <c r="G20" s="616"/>
      <c r="H20" s="627">
        <v>500</v>
      </c>
      <c r="I20" s="617"/>
      <c r="J20" s="616"/>
      <c r="K20" s="620">
        <f t="shared" si="2"/>
        <v>500</v>
      </c>
    </row>
    <row r="21" spans="1:15" s="611" customFormat="1" ht="15" hidden="1" customHeight="1">
      <c r="A21" s="606"/>
      <c r="B21" s="626">
        <v>4610</v>
      </c>
      <c r="C21" s="632" t="s">
        <v>1181</v>
      </c>
      <c r="D21" s="616"/>
      <c r="E21" s="616"/>
      <c r="F21" s="616"/>
      <c r="G21" s="616"/>
      <c r="H21" s="627">
        <v>6500</v>
      </c>
      <c r="I21" s="617"/>
      <c r="J21" s="616"/>
      <c r="K21" s="615">
        <f t="shared" si="2"/>
        <v>6500</v>
      </c>
    </row>
    <row r="22" spans="1:15" s="611" customFormat="1" ht="26.25" hidden="1" customHeight="1">
      <c r="A22" s="606"/>
      <c r="B22" s="633">
        <v>4700</v>
      </c>
      <c r="C22" s="634" t="s">
        <v>1182</v>
      </c>
      <c r="D22" s="635"/>
      <c r="E22" s="635"/>
      <c r="F22" s="635"/>
      <c r="G22" s="635"/>
      <c r="H22" s="636">
        <v>3000</v>
      </c>
      <c r="I22" s="617"/>
      <c r="J22" s="616"/>
      <c r="K22" s="620">
        <f t="shared" si="2"/>
        <v>3000</v>
      </c>
    </row>
    <row r="23" spans="1:15" s="611" customFormat="1" ht="38.25" hidden="1" customHeight="1">
      <c r="A23" s="606"/>
      <c r="B23" s="633">
        <v>6230</v>
      </c>
      <c r="C23" s="634" t="s">
        <v>1183</v>
      </c>
      <c r="D23" s="635"/>
      <c r="E23" s="635"/>
      <c r="F23" s="635"/>
      <c r="G23" s="635"/>
      <c r="H23" s="636">
        <v>500000</v>
      </c>
      <c r="I23" s="617"/>
      <c r="J23" s="616"/>
      <c r="K23" s="615">
        <f t="shared" si="2"/>
        <v>500000</v>
      </c>
    </row>
    <row r="24" spans="1:15" s="611" customFormat="1" ht="38.25" hidden="1" customHeight="1">
      <c r="A24" s="637"/>
      <c r="B24" s="633">
        <v>6610</v>
      </c>
      <c r="C24" s="634" t="s">
        <v>403</v>
      </c>
      <c r="D24" s="635"/>
      <c r="E24" s="635"/>
      <c r="F24" s="635"/>
      <c r="G24" s="635"/>
      <c r="H24" s="636">
        <v>6983839</v>
      </c>
      <c r="J24" s="612"/>
      <c r="K24" s="620">
        <f t="shared" si="2"/>
        <v>6983839</v>
      </c>
    </row>
    <row r="25" spans="1:15" s="605" customFormat="1" ht="25.5" hidden="1" customHeight="1">
      <c r="A25" s="638">
        <v>2</v>
      </c>
      <c r="B25" s="601"/>
      <c r="C25" s="639" t="s">
        <v>1184</v>
      </c>
      <c r="D25" s="603">
        <f>D26</f>
        <v>870000</v>
      </c>
      <c r="E25" s="603">
        <f>SUM(E26:E27)</f>
        <v>0</v>
      </c>
      <c r="F25" s="603">
        <f>SUM(F26:F27)</f>
        <v>0</v>
      </c>
      <c r="G25" s="603">
        <f>D25+E25-F25</f>
        <v>870000</v>
      </c>
      <c r="H25" s="603">
        <f>H28+H33+H35+H37+H39</f>
        <v>870000</v>
      </c>
      <c r="I25" s="604">
        <f t="shared" ref="I25:J25" si="3">I28+I33+I35+I37+I39</f>
        <v>0</v>
      </c>
      <c r="J25" s="604">
        <f t="shared" si="3"/>
        <v>0</v>
      </c>
      <c r="K25" s="640">
        <f>H25+I25-J25</f>
        <v>870000</v>
      </c>
    </row>
    <row r="26" spans="1:15" ht="16.5" hidden="1" customHeight="1">
      <c r="A26" s="641"/>
      <c r="B26" s="642">
        <v>75618</v>
      </c>
      <c r="C26" s="643" t="s">
        <v>1185</v>
      </c>
      <c r="D26" s="644">
        <f>D27</f>
        <v>870000</v>
      </c>
      <c r="E26" s="644">
        <f t="shared" ref="E26:F26" si="4">E27</f>
        <v>0</v>
      </c>
      <c r="F26" s="644">
        <f t="shared" si="4"/>
        <v>0</v>
      </c>
      <c r="G26" s="609">
        <f>D26+E26-F26</f>
        <v>870000</v>
      </c>
      <c r="H26" s="645"/>
      <c r="I26" s="646"/>
      <c r="J26" s="647"/>
      <c r="K26" s="647"/>
      <c r="L26" s="646"/>
      <c r="M26" s="646"/>
      <c r="N26" s="646"/>
      <c r="O26" s="646"/>
    </row>
    <row r="27" spans="1:15" s="656" customFormat="1" ht="27" hidden="1" customHeight="1">
      <c r="A27" s="648"/>
      <c r="B27" s="649" t="s">
        <v>1186</v>
      </c>
      <c r="C27" s="650" t="s">
        <v>1187</v>
      </c>
      <c r="D27" s="651">
        <v>870000</v>
      </c>
      <c r="E27" s="651"/>
      <c r="F27" s="651"/>
      <c r="G27" s="615">
        <f>D27+E27-F27</f>
        <v>870000</v>
      </c>
      <c r="H27" s="652"/>
      <c r="I27" s="653"/>
      <c r="J27" s="654"/>
      <c r="K27" s="654"/>
      <c r="L27" s="655"/>
      <c r="M27" s="655"/>
      <c r="N27" s="655"/>
      <c r="O27" s="655"/>
    </row>
    <row r="28" spans="1:15" ht="16.5" hidden="1" customHeight="1">
      <c r="A28" s="641"/>
      <c r="B28" s="657">
        <v>85153</v>
      </c>
      <c r="C28" s="643" t="s">
        <v>1188</v>
      </c>
      <c r="D28" s="644"/>
      <c r="E28" s="644"/>
      <c r="F28" s="644"/>
      <c r="G28" s="644"/>
      <c r="H28" s="644">
        <f>SUM(H29:H32)</f>
        <v>130000</v>
      </c>
      <c r="I28" s="644">
        <f t="shared" ref="I28:J28" si="5">SUM(I29:I32)</f>
        <v>0</v>
      </c>
      <c r="J28" s="644">
        <f t="shared" si="5"/>
        <v>0</v>
      </c>
      <c r="K28" s="609">
        <f>H28+I28-J28</f>
        <v>130000</v>
      </c>
      <c r="L28" s="646"/>
      <c r="M28" s="646"/>
      <c r="N28" s="646"/>
      <c r="O28" s="646"/>
    </row>
    <row r="29" spans="1:15" s="663" customFormat="1" ht="16.5" hidden="1" customHeight="1">
      <c r="A29" s="658"/>
      <c r="B29" s="659">
        <v>4170</v>
      </c>
      <c r="C29" s="660" t="s">
        <v>389</v>
      </c>
      <c r="D29" s="615"/>
      <c r="E29" s="615"/>
      <c r="F29" s="615"/>
      <c r="G29" s="615"/>
      <c r="H29" s="615">
        <v>14000</v>
      </c>
      <c r="I29" s="661"/>
      <c r="J29" s="615"/>
      <c r="K29" s="615">
        <f>H29+I29-J29</f>
        <v>14000</v>
      </c>
      <c r="L29" s="662"/>
      <c r="M29" s="662"/>
      <c r="N29" s="662"/>
      <c r="O29" s="662"/>
    </row>
    <row r="30" spans="1:15" s="663" customFormat="1" ht="16.5" hidden="1" customHeight="1">
      <c r="A30" s="658"/>
      <c r="B30" s="659">
        <v>4190</v>
      </c>
      <c r="C30" s="660" t="s">
        <v>1189</v>
      </c>
      <c r="D30" s="615"/>
      <c r="E30" s="615"/>
      <c r="F30" s="615"/>
      <c r="G30" s="615"/>
      <c r="H30" s="615">
        <v>11000</v>
      </c>
      <c r="I30" s="661"/>
      <c r="J30" s="615"/>
      <c r="K30" s="615">
        <f t="shared" ref="K30:K43" si="6">H30+I30-J30</f>
        <v>11000</v>
      </c>
      <c r="L30" s="662"/>
      <c r="M30" s="662"/>
      <c r="N30" s="662"/>
      <c r="O30" s="662"/>
    </row>
    <row r="31" spans="1:15" s="663" customFormat="1" ht="16.5" hidden="1" customHeight="1">
      <c r="A31" s="658"/>
      <c r="B31" s="659">
        <v>4210</v>
      </c>
      <c r="C31" s="660" t="s">
        <v>390</v>
      </c>
      <c r="D31" s="615"/>
      <c r="E31" s="615"/>
      <c r="F31" s="615"/>
      <c r="G31" s="615"/>
      <c r="H31" s="615">
        <v>7000</v>
      </c>
      <c r="I31" s="661"/>
      <c r="J31" s="615"/>
      <c r="K31" s="615">
        <f t="shared" si="6"/>
        <v>7000</v>
      </c>
      <c r="L31" s="662"/>
      <c r="M31" s="662"/>
      <c r="N31" s="662"/>
      <c r="O31" s="662"/>
    </row>
    <row r="32" spans="1:15" s="663" customFormat="1" ht="16.5" hidden="1" customHeight="1">
      <c r="A32" s="658"/>
      <c r="B32" s="664">
        <v>4300</v>
      </c>
      <c r="C32" s="665" t="s">
        <v>391</v>
      </c>
      <c r="D32" s="620"/>
      <c r="E32" s="620"/>
      <c r="F32" s="620"/>
      <c r="G32" s="620"/>
      <c r="H32" s="620">
        <v>98000</v>
      </c>
      <c r="I32" s="662"/>
      <c r="J32" s="666"/>
      <c r="K32" s="615">
        <f t="shared" si="6"/>
        <v>98000</v>
      </c>
      <c r="L32" s="662"/>
      <c r="M32" s="662"/>
      <c r="N32" s="662"/>
      <c r="O32" s="662"/>
    </row>
    <row r="33" spans="1:15" ht="29.25" hidden="1" customHeight="1">
      <c r="A33" s="641"/>
      <c r="B33" s="657">
        <v>85153</v>
      </c>
      <c r="C33" s="667" t="s">
        <v>1190</v>
      </c>
      <c r="D33" s="668"/>
      <c r="E33" s="668"/>
      <c r="F33" s="668"/>
      <c r="G33" s="668"/>
      <c r="H33" s="668">
        <f>H34</f>
        <v>350000</v>
      </c>
      <c r="I33" s="669"/>
      <c r="J33" s="670"/>
      <c r="K33" s="671">
        <f>H33+I33-J33</f>
        <v>350000</v>
      </c>
      <c r="L33" s="646"/>
      <c r="M33" s="646"/>
      <c r="N33" s="646"/>
      <c r="O33" s="646"/>
    </row>
    <row r="34" spans="1:15" s="677" customFormat="1" ht="51.75" hidden="1" customHeight="1">
      <c r="A34" s="672"/>
      <c r="B34" s="673">
        <v>2360</v>
      </c>
      <c r="C34" s="650" t="s">
        <v>1191</v>
      </c>
      <c r="D34" s="651"/>
      <c r="E34" s="651"/>
      <c r="F34" s="651"/>
      <c r="G34" s="651"/>
      <c r="H34" s="651">
        <v>350000</v>
      </c>
      <c r="I34" s="674"/>
      <c r="J34" s="675"/>
      <c r="K34" s="636">
        <f t="shared" si="6"/>
        <v>350000</v>
      </c>
      <c r="L34" s="676"/>
      <c r="M34" s="676"/>
      <c r="N34" s="676"/>
      <c r="O34" s="676"/>
    </row>
    <row r="35" spans="1:15" ht="44.25" hidden="1" customHeight="1">
      <c r="A35" s="641"/>
      <c r="B35" s="657">
        <v>85154</v>
      </c>
      <c r="C35" s="667" t="s">
        <v>1192</v>
      </c>
      <c r="D35" s="668"/>
      <c r="E35" s="668"/>
      <c r="F35" s="668"/>
      <c r="G35" s="668"/>
      <c r="H35" s="668">
        <f>H36</f>
        <v>70000</v>
      </c>
      <c r="I35" s="669"/>
      <c r="J35" s="670"/>
      <c r="K35" s="671">
        <f>H35+I35-J35</f>
        <v>70000</v>
      </c>
      <c r="L35" s="646"/>
      <c r="M35" s="646"/>
      <c r="N35" s="646"/>
      <c r="O35" s="646"/>
    </row>
    <row r="36" spans="1:15" ht="51" hidden="1" customHeight="1">
      <c r="A36" s="678"/>
      <c r="B36" s="673">
        <v>2360</v>
      </c>
      <c r="C36" s="650" t="s">
        <v>1191</v>
      </c>
      <c r="D36" s="679"/>
      <c r="E36" s="679"/>
      <c r="F36" s="679"/>
      <c r="G36" s="679"/>
      <c r="H36" s="651">
        <v>70000</v>
      </c>
      <c r="I36" s="680"/>
      <c r="J36" s="681"/>
      <c r="K36" s="636">
        <f t="shared" si="6"/>
        <v>70000</v>
      </c>
      <c r="L36" s="646"/>
      <c r="M36" s="646"/>
      <c r="N36" s="646"/>
      <c r="O36" s="646"/>
    </row>
    <row r="37" spans="1:15" ht="32.25" hidden="1" customHeight="1">
      <c r="A37" s="641"/>
      <c r="B37" s="657">
        <v>85154</v>
      </c>
      <c r="C37" s="667" t="s">
        <v>1193</v>
      </c>
      <c r="D37" s="668"/>
      <c r="E37" s="668"/>
      <c r="F37" s="668"/>
      <c r="G37" s="668"/>
      <c r="H37" s="668">
        <v>260000</v>
      </c>
      <c r="I37" s="682"/>
      <c r="J37" s="671"/>
      <c r="K37" s="671">
        <f>H37+I37-J37</f>
        <v>260000</v>
      </c>
      <c r="L37" s="646"/>
      <c r="M37" s="646"/>
      <c r="N37" s="646"/>
      <c r="O37" s="646"/>
    </row>
    <row r="38" spans="1:15" ht="51.75" hidden="1" customHeight="1">
      <c r="A38" s="683"/>
      <c r="B38" s="673">
        <v>2360</v>
      </c>
      <c r="C38" s="650" t="s">
        <v>1191</v>
      </c>
      <c r="D38" s="679"/>
      <c r="E38" s="679"/>
      <c r="F38" s="679"/>
      <c r="G38" s="679"/>
      <c r="H38" s="651">
        <v>260000</v>
      </c>
      <c r="I38" s="684"/>
      <c r="J38" s="685"/>
      <c r="K38" s="636">
        <f t="shared" si="6"/>
        <v>260000</v>
      </c>
      <c r="L38" s="646"/>
      <c r="M38" s="646"/>
      <c r="N38" s="646"/>
      <c r="O38" s="646"/>
    </row>
    <row r="39" spans="1:15" ht="15.75" hidden="1" customHeight="1">
      <c r="A39" s="686"/>
      <c r="B39" s="657">
        <v>85154</v>
      </c>
      <c r="C39" s="643" t="s">
        <v>601</v>
      </c>
      <c r="D39" s="644"/>
      <c r="E39" s="644"/>
      <c r="F39" s="644"/>
      <c r="G39" s="644"/>
      <c r="H39" s="644">
        <f>SUM(H40:H43)</f>
        <v>60000</v>
      </c>
      <c r="I39" s="644">
        <f t="shared" ref="I39:J39" si="7">SUM(I40:I43)</f>
        <v>0</v>
      </c>
      <c r="J39" s="644">
        <f t="shared" si="7"/>
        <v>0</v>
      </c>
      <c r="K39" s="671">
        <f>H39+I39-J39</f>
        <v>60000</v>
      </c>
      <c r="L39" s="646"/>
      <c r="M39" s="646"/>
      <c r="N39" s="646"/>
      <c r="O39" s="646"/>
    </row>
    <row r="40" spans="1:15" ht="27" hidden="1" customHeight="1">
      <c r="A40" s="641"/>
      <c r="B40" s="687">
        <v>2800</v>
      </c>
      <c r="C40" s="688" t="s">
        <v>420</v>
      </c>
      <c r="D40" s="689"/>
      <c r="E40" s="689"/>
      <c r="F40" s="689"/>
      <c r="G40" s="689"/>
      <c r="H40" s="690">
        <v>30000</v>
      </c>
      <c r="I40" s="691"/>
      <c r="J40" s="692"/>
      <c r="K40" s="636">
        <f t="shared" si="6"/>
        <v>30000</v>
      </c>
      <c r="L40" s="646"/>
      <c r="M40" s="646"/>
      <c r="N40" s="646"/>
      <c r="O40" s="646"/>
    </row>
    <row r="41" spans="1:15" ht="15" hidden="1" customHeight="1">
      <c r="A41" s="641"/>
      <c r="B41" s="687">
        <v>4170</v>
      </c>
      <c r="C41" s="693" t="s">
        <v>389</v>
      </c>
      <c r="D41" s="694"/>
      <c r="E41" s="694"/>
      <c r="F41" s="694"/>
      <c r="G41" s="694"/>
      <c r="H41" s="695">
        <v>3000</v>
      </c>
      <c r="I41" s="691"/>
      <c r="J41" s="692"/>
      <c r="K41" s="636">
        <f t="shared" si="6"/>
        <v>3000</v>
      </c>
      <c r="L41" s="646"/>
      <c r="M41" s="646"/>
      <c r="N41" s="646"/>
      <c r="O41" s="646"/>
    </row>
    <row r="42" spans="1:15" ht="15" hidden="1" customHeight="1">
      <c r="A42" s="641"/>
      <c r="B42" s="687">
        <v>4210</v>
      </c>
      <c r="C42" s="693" t="s">
        <v>390</v>
      </c>
      <c r="D42" s="694"/>
      <c r="E42" s="694"/>
      <c r="F42" s="694"/>
      <c r="G42" s="694"/>
      <c r="H42" s="695">
        <v>4000</v>
      </c>
      <c r="I42" s="691"/>
      <c r="J42" s="692"/>
      <c r="K42" s="636">
        <f t="shared" si="6"/>
        <v>4000</v>
      </c>
      <c r="L42" s="646"/>
      <c r="M42" s="646"/>
      <c r="N42" s="646"/>
      <c r="O42" s="646"/>
    </row>
    <row r="43" spans="1:15" ht="15" hidden="1" customHeight="1">
      <c r="A43" s="683"/>
      <c r="B43" s="673">
        <v>4300</v>
      </c>
      <c r="C43" s="696" t="s">
        <v>391</v>
      </c>
      <c r="D43" s="697"/>
      <c r="E43" s="697"/>
      <c r="F43" s="697"/>
      <c r="G43" s="697"/>
      <c r="H43" s="698">
        <v>23000</v>
      </c>
      <c r="I43" s="680"/>
      <c r="J43" s="681"/>
      <c r="K43" s="636">
        <f t="shared" si="6"/>
        <v>23000</v>
      </c>
      <c r="L43" s="646"/>
      <c r="M43" s="646"/>
      <c r="N43" s="646"/>
      <c r="O43" s="646"/>
    </row>
    <row r="44" spans="1:15" s="703" customFormat="1" ht="45" customHeight="1">
      <c r="A44" s="600">
        <v>3</v>
      </c>
      <c r="B44" s="699"/>
      <c r="C44" s="700" t="s">
        <v>1194</v>
      </c>
      <c r="D44" s="701">
        <f>D45</f>
        <v>375000</v>
      </c>
      <c r="E44" s="701">
        <f t="shared" ref="E44:F44" si="8">E45</f>
        <v>10807</v>
      </c>
      <c r="F44" s="701">
        <f t="shared" si="8"/>
        <v>0</v>
      </c>
      <c r="G44" s="701">
        <f>D44+E44-F44</f>
        <v>385807</v>
      </c>
      <c r="H44" s="701">
        <f>SUM(H45:H47)</f>
        <v>375000</v>
      </c>
      <c r="I44" s="701">
        <f t="shared" ref="I44:J44" si="9">SUM(I45:I47)</f>
        <v>10807</v>
      </c>
      <c r="J44" s="701">
        <f t="shared" si="9"/>
        <v>0</v>
      </c>
      <c r="K44" s="701">
        <f>H44+I44-J44</f>
        <v>385807</v>
      </c>
      <c r="L44" s="702"/>
      <c r="M44" s="702"/>
      <c r="N44" s="702"/>
      <c r="O44" s="702"/>
    </row>
    <row r="45" spans="1:15">
      <c r="A45" s="641"/>
      <c r="B45" s="704">
        <v>85324</v>
      </c>
      <c r="C45" s="705" t="s">
        <v>1195</v>
      </c>
      <c r="D45" s="706">
        <v>375000</v>
      </c>
      <c r="E45" s="706">
        <f>E46</f>
        <v>10807</v>
      </c>
      <c r="F45" s="706"/>
      <c r="G45" s="671">
        <f>D45+E45-F45</f>
        <v>385807</v>
      </c>
      <c r="H45" s="706"/>
      <c r="I45" s="669"/>
      <c r="J45" s="670"/>
      <c r="K45" s="670"/>
      <c r="L45" s="646"/>
      <c r="M45" s="646"/>
      <c r="N45" s="646"/>
      <c r="O45" s="646"/>
    </row>
    <row r="46" spans="1:15">
      <c r="A46" s="641"/>
      <c r="B46" s="649" t="s">
        <v>476</v>
      </c>
      <c r="C46" s="707" t="s">
        <v>475</v>
      </c>
      <c r="D46" s="698">
        <v>375000</v>
      </c>
      <c r="E46" s="698">
        <v>10807</v>
      </c>
      <c r="F46" s="698"/>
      <c r="G46" s="675">
        <f t="shared" ref="G46" si="10">D46+E46-F46</f>
        <v>385807</v>
      </c>
      <c r="H46" s="697"/>
      <c r="I46" s="680"/>
      <c r="J46" s="681"/>
      <c r="K46" s="681"/>
      <c r="L46" s="646"/>
      <c r="M46" s="646"/>
      <c r="N46" s="646"/>
      <c r="O46" s="646"/>
    </row>
    <row r="47" spans="1:15">
      <c r="A47" s="641"/>
      <c r="B47" s="678">
        <v>85324</v>
      </c>
      <c r="C47" s="708" t="s">
        <v>1196</v>
      </c>
      <c r="D47" s="709"/>
      <c r="E47" s="709"/>
      <c r="F47" s="709"/>
      <c r="G47" s="709"/>
      <c r="H47" s="709">
        <f>SUM(H48:H57)</f>
        <v>375000</v>
      </c>
      <c r="I47" s="709">
        <f t="shared" ref="I47:J47" si="11">SUM(I48:I57)</f>
        <v>10807</v>
      </c>
      <c r="J47" s="709">
        <f t="shared" si="11"/>
        <v>0</v>
      </c>
      <c r="K47" s="671">
        <f>H47+I47-J47</f>
        <v>385807</v>
      </c>
      <c r="L47" s="646"/>
      <c r="M47" s="646"/>
      <c r="N47" s="646"/>
      <c r="O47" s="646"/>
    </row>
    <row r="48" spans="1:15">
      <c r="A48" s="641"/>
      <c r="B48" s="687">
        <v>4010</v>
      </c>
      <c r="C48" s="710" t="s">
        <v>386</v>
      </c>
      <c r="D48" s="694"/>
      <c r="E48" s="694"/>
      <c r="F48" s="694"/>
      <c r="G48" s="694"/>
      <c r="H48" s="695">
        <v>237360</v>
      </c>
      <c r="I48" s="711">
        <v>10807</v>
      </c>
      <c r="J48" s="712"/>
      <c r="K48" s="636">
        <f t="shared" ref="K48:K57" si="12">H48+I48-J48</f>
        <v>248167</v>
      </c>
      <c r="L48" s="646"/>
      <c r="M48" s="646"/>
      <c r="N48" s="646"/>
      <c r="O48" s="646"/>
    </row>
    <row r="49" spans="1:15" hidden="1">
      <c r="A49" s="641"/>
      <c r="B49" s="687">
        <v>4040</v>
      </c>
      <c r="C49" s="710" t="s">
        <v>399</v>
      </c>
      <c r="D49" s="694"/>
      <c r="E49" s="694"/>
      <c r="F49" s="694"/>
      <c r="G49" s="694"/>
      <c r="H49" s="695">
        <v>25870</v>
      </c>
      <c r="I49" s="711"/>
      <c r="J49" s="712"/>
      <c r="K49" s="636">
        <f t="shared" si="12"/>
        <v>25870</v>
      </c>
      <c r="L49" s="646"/>
      <c r="M49" s="646"/>
      <c r="N49" s="646"/>
      <c r="O49" s="646"/>
    </row>
    <row r="50" spans="1:15" hidden="1">
      <c r="A50" s="641"/>
      <c r="B50" s="687">
        <v>4110</v>
      </c>
      <c r="C50" s="710" t="s">
        <v>387</v>
      </c>
      <c r="D50" s="694"/>
      <c r="E50" s="694"/>
      <c r="F50" s="694"/>
      <c r="G50" s="694"/>
      <c r="H50" s="695">
        <v>41811</v>
      </c>
      <c r="I50" s="691"/>
      <c r="J50" s="692"/>
      <c r="K50" s="636">
        <f t="shared" si="12"/>
        <v>41811</v>
      </c>
      <c r="L50" s="646"/>
      <c r="M50" s="646"/>
      <c r="N50" s="646"/>
      <c r="O50" s="646"/>
    </row>
    <row r="51" spans="1:15" hidden="1">
      <c r="A51" s="641"/>
      <c r="B51" s="687">
        <v>4120</v>
      </c>
      <c r="C51" s="713" t="s">
        <v>388</v>
      </c>
      <c r="D51" s="694"/>
      <c r="E51" s="694"/>
      <c r="F51" s="694"/>
      <c r="G51" s="694"/>
      <c r="H51" s="695">
        <v>5959</v>
      </c>
      <c r="I51" s="691"/>
      <c r="J51" s="692"/>
      <c r="K51" s="636">
        <f t="shared" si="12"/>
        <v>5959</v>
      </c>
      <c r="L51" s="646"/>
      <c r="M51" s="646"/>
      <c r="N51" s="646"/>
      <c r="O51" s="646"/>
    </row>
    <row r="52" spans="1:15" hidden="1">
      <c r="A52" s="641"/>
      <c r="B52" s="687">
        <v>4210</v>
      </c>
      <c r="C52" s="710" t="s">
        <v>390</v>
      </c>
      <c r="D52" s="694"/>
      <c r="E52" s="694"/>
      <c r="F52" s="694"/>
      <c r="G52" s="694"/>
      <c r="H52" s="695">
        <v>50000</v>
      </c>
      <c r="I52" s="691"/>
      <c r="J52" s="692"/>
      <c r="K52" s="636">
        <f t="shared" si="12"/>
        <v>50000</v>
      </c>
      <c r="L52" s="646"/>
      <c r="M52" s="646"/>
      <c r="N52" s="646"/>
      <c r="O52" s="646"/>
    </row>
    <row r="53" spans="1:15" hidden="1">
      <c r="A53" s="641"/>
      <c r="B53" s="687">
        <v>4220</v>
      </c>
      <c r="C53" s="710" t="s">
        <v>408</v>
      </c>
      <c r="D53" s="694"/>
      <c r="E53" s="694"/>
      <c r="F53" s="694"/>
      <c r="G53" s="694"/>
      <c r="H53" s="695">
        <v>2000</v>
      </c>
      <c r="I53" s="691"/>
      <c r="J53" s="692"/>
      <c r="K53" s="636">
        <f t="shared" si="12"/>
        <v>2000</v>
      </c>
      <c r="L53" s="646"/>
      <c r="M53" s="646"/>
      <c r="N53" s="646"/>
      <c r="O53" s="646"/>
    </row>
    <row r="54" spans="1:15" hidden="1">
      <c r="A54" s="641"/>
      <c r="B54" s="687">
        <v>4270</v>
      </c>
      <c r="C54" s="710" t="s">
        <v>400</v>
      </c>
      <c r="D54" s="694"/>
      <c r="E54" s="694"/>
      <c r="F54" s="694"/>
      <c r="G54" s="694"/>
      <c r="H54" s="695">
        <v>2000</v>
      </c>
      <c r="I54" s="691"/>
      <c r="J54" s="692"/>
      <c r="K54" s="636">
        <f t="shared" si="12"/>
        <v>2000</v>
      </c>
      <c r="L54" s="646"/>
      <c r="M54" s="646"/>
      <c r="N54" s="646"/>
      <c r="O54" s="646"/>
    </row>
    <row r="55" spans="1:15" hidden="1">
      <c r="A55" s="641"/>
      <c r="B55" s="687">
        <v>4300</v>
      </c>
      <c r="C55" s="710" t="s">
        <v>391</v>
      </c>
      <c r="D55" s="694"/>
      <c r="E55" s="694"/>
      <c r="F55" s="694"/>
      <c r="G55" s="694"/>
      <c r="H55" s="695">
        <v>2000</v>
      </c>
      <c r="I55" s="691"/>
      <c r="J55" s="692"/>
      <c r="K55" s="636">
        <f t="shared" si="12"/>
        <v>2000</v>
      </c>
      <c r="L55" s="646"/>
      <c r="M55" s="646"/>
      <c r="N55" s="646"/>
      <c r="O55" s="646"/>
    </row>
    <row r="56" spans="1:15" hidden="1">
      <c r="A56" s="641"/>
      <c r="B56" s="687">
        <v>4410</v>
      </c>
      <c r="C56" s="710" t="s">
        <v>392</v>
      </c>
      <c r="D56" s="694"/>
      <c r="E56" s="694"/>
      <c r="F56" s="694"/>
      <c r="G56" s="694"/>
      <c r="H56" s="695">
        <v>3000</v>
      </c>
      <c r="I56" s="691"/>
      <c r="J56" s="692"/>
      <c r="K56" s="636">
        <f t="shared" si="12"/>
        <v>3000</v>
      </c>
      <c r="L56" s="646"/>
      <c r="M56" s="646"/>
      <c r="N56" s="646"/>
      <c r="O56" s="646"/>
    </row>
    <row r="57" spans="1:15" ht="26.25" hidden="1">
      <c r="A57" s="641"/>
      <c r="B57" s="687">
        <v>4700</v>
      </c>
      <c r="C57" s="714" t="s">
        <v>1182</v>
      </c>
      <c r="D57" s="679"/>
      <c r="E57" s="715"/>
      <c r="F57" s="715"/>
      <c r="G57" s="715"/>
      <c r="H57" s="716">
        <v>5000</v>
      </c>
      <c r="I57" s="680"/>
      <c r="J57" s="681"/>
      <c r="K57" s="636">
        <f t="shared" si="12"/>
        <v>5000</v>
      </c>
      <c r="L57" s="646"/>
      <c r="M57" s="646"/>
      <c r="N57" s="646"/>
      <c r="O57" s="646"/>
    </row>
    <row r="58" spans="1:15" s="721" customFormat="1" ht="27.75" hidden="1" customHeight="1">
      <c r="A58" s="717">
        <v>4</v>
      </c>
      <c r="B58" s="718"/>
      <c r="C58" s="719" t="s">
        <v>1197</v>
      </c>
      <c r="D58" s="720">
        <f>D59</f>
        <v>800000</v>
      </c>
      <c r="E58" s="720">
        <f t="shared" ref="E58:F58" si="13">E59</f>
        <v>0</v>
      </c>
      <c r="F58" s="720">
        <f t="shared" si="13"/>
        <v>0</v>
      </c>
      <c r="G58" s="720">
        <f>D58+E58-F58</f>
        <v>800000</v>
      </c>
      <c r="H58" s="720">
        <f>H61</f>
        <v>800000</v>
      </c>
      <c r="I58" s="720">
        <f t="shared" ref="I58:J58" si="14">I61</f>
        <v>0</v>
      </c>
      <c r="J58" s="720">
        <f t="shared" si="14"/>
        <v>0</v>
      </c>
      <c r="K58" s="701">
        <f>H58+I58-J58</f>
        <v>800000</v>
      </c>
    </row>
    <row r="59" spans="1:15" ht="16.5" hidden="1" customHeight="1">
      <c r="A59" s="641"/>
      <c r="B59" s="704">
        <v>90019</v>
      </c>
      <c r="C59" s="705" t="s">
        <v>1198</v>
      </c>
      <c r="D59" s="706">
        <f>D60</f>
        <v>800000</v>
      </c>
      <c r="E59" s="706"/>
      <c r="F59" s="706"/>
      <c r="G59" s="671">
        <f>D59+E59-F59</f>
        <v>800000</v>
      </c>
      <c r="H59" s="706"/>
      <c r="I59" s="682"/>
      <c r="J59" s="671"/>
      <c r="K59" s="671"/>
      <c r="L59" s="646"/>
      <c r="M59" s="646"/>
      <c r="N59" s="646"/>
      <c r="O59" s="646"/>
    </row>
    <row r="60" spans="1:15" ht="16.5" hidden="1" customHeight="1">
      <c r="A60" s="641"/>
      <c r="B60" s="649" t="s">
        <v>1179</v>
      </c>
      <c r="C60" s="722" t="s">
        <v>1180</v>
      </c>
      <c r="D60" s="698">
        <v>800000</v>
      </c>
      <c r="E60" s="698"/>
      <c r="F60" s="698"/>
      <c r="G60" s="675">
        <f t="shared" ref="G60" si="15">D60+E60-F60</f>
        <v>800000</v>
      </c>
      <c r="H60" s="697"/>
      <c r="I60" s="684"/>
      <c r="J60" s="685"/>
      <c r="K60" s="685"/>
      <c r="L60" s="646"/>
      <c r="M60" s="646"/>
      <c r="N60" s="646"/>
      <c r="O60" s="646"/>
    </row>
    <row r="61" spans="1:15" ht="16.5" hidden="1" customHeight="1">
      <c r="A61" s="641"/>
      <c r="B61" s="723">
        <v>90019</v>
      </c>
      <c r="C61" s="708" t="s">
        <v>1199</v>
      </c>
      <c r="D61" s="709"/>
      <c r="E61" s="709"/>
      <c r="F61" s="709"/>
      <c r="G61" s="709"/>
      <c r="H61" s="709">
        <f>SUM(H62:H69)</f>
        <v>800000</v>
      </c>
      <c r="I61" s="709">
        <f t="shared" ref="I61:J61" si="16">SUM(I62:I69)</f>
        <v>0</v>
      </c>
      <c r="J61" s="709">
        <f t="shared" si="16"/>
        <v>0</v>
      </c>
      <c r="K61" s="671">
        <f>H61+I61-J61</f>
        <v>800000</v>
      </c>
      <c r="L61" s="646"/>
      <c r="M61" s="646"/>
      <c r="N61" s="646"/>
      <c r="O61" s="646"/>
    </row>
    <row r="62" spans="1:15" ht="15" hidden="1" customHeight="1">
      <c r="A62" s="641"/>
      <c r="B62" s="687">
        <v>4010</v>
      </c>
      <c r="C62" s="710" t="s">
        <v>386</v>
      </c>
      <c r="D62" s="694"/>
      <c r="E62" s="694"/>
      <c r="F62" s="694"/>
      <c r="G62" s="694"/>
      <c r="H62" s="695">
        <v>447570</v>
      </c>
      <c r="I62" s="691"/>
      <c r="J62" s="692"/>
      <c r="K62" s="636">
        <f t="shared" ref="K62:K69" si="17">H62+I62-J62</f>
        <v>447570</v>
      </c>
      <c r="L62" s="646"/>
      <c r="M62" s="646"/>
      <c r="N62" s="646"/>
      <c r="O62" s="646"/>
    </row>
    <row r="63" spans="1:15" ht="15" hidden="1" customHeight="1">
      <c r="A63" s="641"/>
      <c r="B63" s="687">
        <v>4040</v>
      </c>
      <c r="C63" s="710" t="s">
        <v>399</v>
      </c>
      <c r="D63" s="694"/>
      <c r="E63" s="694"/>
      <c r="F63" s="694"/>
      <c r="G63" s="694"/>
      <c r="H63" s="695">
        <v>82020</v>
      </c>
      <c r="I63" s="691"/>
      <c r="J63" s="692"/>
      <c r="K63" s="636">
        <f t="shared" si="17"/>
        <v>82020</v>
      </c>
      <c r="L63" s="646"/>
      <c r="M63" s="646"/>
      <c r="N63" s="646"/>
      <c r="O63" s="646"/>
    </row>
    <row r="64" spans="1:15" ht="15" hidden="1" customHeight="1">
      <c r="A64" s="641"/>
      <c r="B64" s="687">
        <v>4110</v>
      </c>
      <c r="C64" s="710" t="s">
        <v>387</v>
      </c>
      <c r="D64" s="694"/>
      <c r="E64" s="694"/>
      <c r="F64" s="694"/>
      <c r="G64" s="694"/>
      <c r="H64" s="695">
        <v>91036</v>
      </c>
      <c r="I64" s="691"/>
      <c r="J64" s="692"/>
      <c r="K64" s="636">
        <f t="shared" si="17"/>
        <v>91036</v>
      </c>
      <c r="L64" s="646"/>
      <c r="M64" s="646"/>
      <c r="N64" s="646"/>
      <c r="O64" s="646"/>
    </row>
    <row r="65" spans="1:15" ht="15" hidden="1" customHeight="1">
      <c r="A65" s="641"/>
      <c r="B65" s="687">
        <v>4120</v>
      </c>
      <c r="C65" s="713" t="s">
        <v>388</v>
      </c>
      <c r="D65" s="694"/>
      <c r="E65" s="694"/>
      <c r="F65" s="694"/>
      <c r="G65" s="694"/>
      <c r="H65" s="695">
        <v>12974</v>
      </c>
      <c r="I65" s="691"/>
      <c r="J65" s="692"/>
      <c r="K65" s="636">
        <f t="shared" si="17"/>
        <v>12974</v>
      </c>
      <c r="L65" s="646"/>
      <c r="M65" s="646"/>
      <c r="N65" s="646"/>
      <c r="O65" s="646"/>
    </row>
    <row r="66" spans="1:15" ht="15" hidden="1" customHeight="1">
      <c r="A66" s="641"/>
      <c r="B66" s="724">
        <v>4210</v>
      </c>
      <c r="C66" s="710" t="s">
        <v>390</v>
      </c>
      <c r="D66" s="725"/>
      <c r="E66" s="725"/>
      <c r="F66" s="725"/>
      <c r="G66" s="725"/>
      <c r="H66" s="726">
        <v>10000</v>
      </c>
      <c r="I66" s="691"/>
      <c r="J66" s="692"/>
      <c r="K66" s="636">
        <f t="shared" si="17"/>
        <v>10000</v>
      </c>
      <c r="L66" s="646"/>
      <c r="M66" s="646"/>
      <c r="N66" s="646"/>
      <c r="O66" s="646"/>
    </row>
    <row r="67" spans="1:15" ht="15" hidden="1" customHeight="1">
      <c r="A67" s="641"/>
      <c r="B67" s="687">
        <v>4300</v>
      </c>
      <c r="C67" s="710" t="s">
        <v>391</v>
      </c>
      <c r="D67" s="694"/>
      <c r="E67" s="694"/>
      <c r="F67" s="694"/>
      <c r="G67" s="694"/>
      <c r="H67" s="695">
        <v>150000</v>
      </c>
      <c r="I67" s="691"/>
      <c r="J67" s="692"/>
      <c r="K67" s="636">
        <f t="shared" si="17"/>
        <v>150000</v>
      </c>
      <c r="L67" s="646"/>
      <c r="M67" s="646"/>
      <c r="N67" s="646"/>
      <c r="O67" s="646"/>
    </row>
    <row r="68" spans="1:15" ht="15" hidden="1" customHeight="1">
      <c r="A68" s="641"/>
      <c r="B68" s="687">
        <v>4410</v>
      </c>
      <c r="C68" s="710" t="s">
        <v>392</v>
      </c>
      <c r="D68" s="694"/>
      <c r="E68" s="694"/>
      <c r="F68" s="694"/>
      <c r="G68" s="694"/>
      <c r="H68" s="695">
        <v>400</v>
      </c>
      <c r="I68" s="691"/>
      <c r="J68" s="692"/>
      <c r="K68" s="636">
        <f t="shared" si="17"/>
        <v>400</v>
      </c>
      <c r="L68" s="646"/>
      <c r="M68" s="646"/>
      <c r="N68" s="646"/>
      <c r="O68" s="646"/>
    </row>
    <row r="69" spans="1:15" ht="26.25" hidden="1" customHeight="1">
      <c r="A69" s="683"/>
      <c r="B69" s="673">
        <v>4700</v>
      </c>
      <c r="C69" s="714" t="s">
        <v>1182</v>
      </c>
      <c r="D69" s="679"/>
      <c r="E69" s="679"/>
      <c r="F69" s="679"/>
      <c r="G69" s="679"/>
      <c r="H69" s="651">
        <v>6000</v>
      </c>
      <c r="I69" s="680"/>
      <c r="J69" s="681"/>
      <c r="K69" s="727">
        <f t="shared" si="17"/>
        <v>6000</v>
      </c>
      <c r="L69" s="646"/>
      <c r="M69" s="646"/>
      <c r="N69" s="646"/>
      <c r="O69" s="646"/>
    </row>
    <row r="70" spans="1:15" s="605" customFormat="1" ht="28.5" hidden="1" customHeight="1">
      <c r="A70" s="638">
        <v>5</v>
      </c>
      <c r="B70" s="816"/>
      <c r="C70" s="728" t="s">
        <v>1200</v>
      </c>
      <c r="D70" s="729">
        <f>D71+D78</f>
        <v>171000</v>
      </c>
      <c r="E70" s="729"/>
      <c r="F70" s="729"/>
      <c r="G70" s="720">
        <f>D70+E70-F70</f>
        <v>171000</v>
      </c>
      <c r="H70" s="729">
        <f>H73+H80</f>
        <v>171000</v>
      </c>
      <c r="I70" s="729">
        <f t="shared" ref="I70:J70" si="18">I73+I80</f>
        <v>0</v>
      </c>
      <c r="J70" s="729">
        <f t="shared" si="18"/>
        <v>0</v>
      </c>
      <c r="K70" s="701">
        <f>H70+I70-J70</f>
        <v>171000</v>
      </c>
      <c r="L70" s="721"/>
      <c r="M70" s="721"/>
      <c r="N70" s="721"/>
      <c r="O70" s="721"/>
    </row>
    <row r="71" spans="1:15" ht="45.75" hidden="1" customHeight="1">
      <c r="A71" s="641"/>
      <c r="B71" s="704">
        <v>90020</v>
      </c>
      <c r="C71" s="730" t="s">
        <v>1201</v>
      </c>
      <c r="D71" s="731">
        <f>D72</f>
        <v>20950</v>
      </c>
      <c r="E71" s="731"/>
      <c r="F71" s="731"/>
      <c r="G71" s="671">
        <f>D71+E71-F71</f>
        <v>20950</v>
      </c>
      <c r="H71" s="731"/>
      <c r="I71" s="669"/>
      <c r="J71" s="670"/>
      <c r="K71" s="670"/>
      <c r="L71" s="646"/>
      <c r="M71" s="646"/>
      <c r="N71" s="646"/>
      <c r="O71" s="646"/>
    </row>
    <row r="72" spans="1:15" ht="15" hidden="1" customHeight="1">
      <c r="A72" s="641"/>
      <c r="B72" s="649" t="s">
        <v>1202</v>
      </c>
      <c r="C72" s="696" t="s">
        <v>1203</v>
      </c>
      <c r="D72" s="698">
        <v>20950</v>
      </c>
      <c r="E72" s="698"/>
      <c r="F72" s="698"/>
      <c r="G72" s="675">
        <f t="shared" ref="G72" si="19">D72+E72-F72</f>
        <v>20950</v>
      </c>
      <c r="H72" s="697"/>
      <c r="I72" s="684"/>
      <c r="J72" s="685"/>
      <c r="K72" s="685"/>
      <c r="L72" s="646"/>
      <c r="M72" s="646"/>
      <c r="N72" s="646"/>
      <c r="O72" s="646"/>
    </row>
    <row r="73" spans="1:15" ht="30.75" hidden="1" customHeight="1">
      <c r="A73" s="641"/>
      <c r="B73" s="723">
        <v>90020</v>
      </c>
      <c r="C73" s="732" t="s">
        <v>1204</v>
      </c>
      <c r="D73" s="733"/>
      <c r="E73" s="733"/>
      <c r="F73" s="733"/>
      <c r="G73" s="733"/>
      <c r="H73" s="671">
        <f>SUM(H74:H77)</f>
        <v>20950</v>
      </c>
      <c r="I73" s="671">
        <f t="shared" ref="I73:J73" si="20">SUM(I74:I77)</f>
        <v>0</v>
      </c>
      <c r="J73" s="671">
        <f t="shared" si="20"/>
        <v>0</v>
      </c>
      <c r="K73" s="671">
        <f>H73+I73-J73</f>
        <v>20950</v>
      </c>
      <c r="L73" s="646"/>
      <c r="M73" s="646"/>
      <c r="N73" s="646"/>
      <c r="O73" s="646"/>
    </row>
    <row r="74" spans="1:15" s="737" customFormat="1" ht="15" hidden="1" customHeight="1">
      <c r="A74" s="606"/>
      <c r="B74" s="659">
        <v>4010</v>
      </c>
      <c r="C74" s="734" t="s">
        <v>386</v>
      </c>
      <c r="D74" s="735"/>
      <c r="E74" s="735"/>
      <c r="F74" s="735"/>
      <c r="G74" s="735"/>
      <c r="H74" s="615">
        <v>15840</v>
      </c>
      <c r="I74" s="691"/>
      <c r="J74" s="692"/>
      <c r="K74" s="636">
        <f t="shared" ref="K74:K77" si="21">H74+I74-J74</f>
        <v>15840</v>
      </c>
      <c r="L74" s="736"/>
      <c r="M74" s="736"/>
      <c r="N74" s="736"/>
      <c r="O74" s="736"/>
    </row>
    <row r="75" spans="1:15" s="737" customFormat="1" ht="15" hidden="1" customHeight="1">
      <c r="A75" s="606"/>
      <c r="B75" s="659">
        <v>4110</v>
      </c>
      <c r="C75" s="734" t="s">
        <v>387</v>
      </c>
      <c r="D75" s="735"/>
      <c r="E75" s="735"/>
      <c r="F75" s="735"/>
      <c r="G75" s="735"/>
      <c r="H75" s="615">
        <v>2722</v>
      </c>
      <c r="I75" s="691"/>
      <c r="J75" s="692"/>
      <c r="K75" s="636">
        <f t="shared" si="21"/>
        <v>2722</v>
      </c>
      <c r="L75" s="736"/>
      <c r="M75" s="736"/>
      <c r="N75" s="736"/>
      <c r="O75" s="736"/>
    </row>
    <row r="76" spans="1:15" s="737" customFormat="1" ht="15" hidden="1" customHeight="1">
      <c r="A76" s="606"/>
      <c r="B76" s="659">
        <v>4120</v>
      </c>
      <c r="C76" s="660" t="s">
        <v>388</v>
      </c>
      <c r="D76" s="735"/>
      <c r="E76" s="735"/>
      <c r="F76" s="735"/>
      <c r="G76" s="735"/>
      <c r="H76" s="615">
        <v>388</v>
      </c>
      <c r="I76" s="691"/>
      <c r="J76" s="692"/>
      <c r="K76" s="636">
        <f t="shared" si="21"/>
        <v>388</v>
      </c>
      <c r="L76" s="736"/>
      <c r="M76" s="736"/>
      <c r="N76" s="736"/>
      <c r="O76" s="736"/>
    </row>
    <row r="77" spans="1:15" s="737" customFormat="1" ht="15" hidden="1" customHeight="1">
      <c r="A77" s="606"/>
      <c r="B77" s="664">
        <v>4610</v>
      </c>
      <c r="C77" s="738" t="s">
        <v>1181</v>
      </c>
      <c r="D77" s="739"/>
      <c r="E77" s="739"/>
      <c r="F77" s="739"/>
      <c r="G77" s="739"/>
      <c r="H77" s="620">
        <v>2000</v>
      </c>
      <c r="I77" s="680"/>
      <c r="J77" s="681"/>
      <c r="K77" s="636">
        <f t="shared" si="21"/>
        <v>2000</v>
      </c>
      <c r="L77" s="736"/>
      <c r="M77" s="736"/>
      <c r="N77" s="736"/>
      <c r="O77" s="736"/>
    </row>
    <row r="78" spans="1:15" ht="31.5" hidden="1" customHeight="1">
      <c r="A78" s="641"/>
      <c r="B78" s="704">
        <v>90026</v>
      </c>
      <c r="C78" s="730" t="s">
        <v>1205</v>
      </c>
      <c r="D78" s="731">
        <f>D79</f>
        <v>150050</v>
      </c>
      <c r="E78" s="731"/>
      <c r="F78" s="731"/>
      <c r="G78" s="671">
        <f>D78+E78-F78</f>
        <v>150050</v>
      </c>
      <c r="H78" s="731"/>
      <c r="I78" s="669"/>
      <c r="J78" s="670"/>
      <c r="K78" s="670"/>
      <c r="L78" s="646"/>
      <c r="M78" s="646"/>
      <c r="N78" s="646"/>
      <c r="O78" s="646"/>
    </row>
    <row r="79" spans="1:15" ht="15" hidden="1" customHeight="1">
      <c r="A79" s="641"/>
      <c r="B79" s="649" t="s">
        <v>1206</v>
      </c>
      <c r="C79" s="696" t="s">
        <v>1207</v>
      </c>
      <c r="D79" s="698">
        <v>150050</v>
      </c>
      <c r="E79" s="698"/>
      <c r="F79" s="698"/>
      <c r="G79" s="675">
        <f t="shared" ref="G79" si="22">D79+E79-F79</f>
        <v>150050</v>
      </c>
      <c r="H79" s="697"/>
      <c r="I79" s="680"/>
      <c r="J79" s="681"/>
      <c r="K79" s="681"/>
      <c r="L79" s="646"/>
      <c r="M79" s="646"/>
      <c r="N79" s="646"/>
      <c r="O79" s="646"/>
    </row>
    <row r="80" spans="1:15" ht="28.5" hidden="1" customHeight="1">
      <c r="A80" s="641"/>
      <c r="B80" s="723">
        <v>90026</v>
      </c>
      <c r="C80" s="732" t="s">
        <v>1208</v>
      </c>
      <c r="D80" s="733"/>
      <c r="E80" s="733"/>
      <c r="F80" s="733"/>
      <c r="G80" s="733"/>
      <c r="H80" s="733">
        <f>SUM(H81:H86)</f>
        <v>150050</v>
      </c>
      <c r="I80" s="733">
        <f t="shared" ref="I80:J80" si="23">SUM(I81:I86)</f>
        <v>0</v>
      </c>
      <c r="J80" s="733">
        <f t="shared" si="23"/>
        <v>0</v>
      </c>
      <c r="K80" s="671">
        <f>H80+I80-J80</f>
        <v>150050</v>
      </c>
      <c r="L80" s="646"/>
      <c r="M80" s="646"/>
      <c r="N80" s="646"/>
      <c r="O80" s="646"/>
    </row>
    <row r="81" spans="1:15" ht="15.75" hidden="1" customHeight="1">
      <c r="A81" s="641"/>
      <c r="B81" s="687">
        <v>4010</v>
      </c>
      <c r="C81" s="710" t="s">
        <v>386</v>
      </c>
      <c r="D81" s="695"/>
      <c r="E81" s="695"/>
      <c r="F81" s="695"/>
      <c r="G81" s="695"/>
      <c r="H81" s="695">
        <v>88671</v>
      </c>
      <c r="I81" s="691"/>
      <c r="J81" s="692"/>
      <c r="K81" s="727">
        <f t="shared" ref="K81:K86" si="24">H81+I81-J81</f>
        <v>88671</v>
      </c>
      <c r="L81" s="646"/>
      <c r="M81" s="646"/>
      <c r="N81" s="646"/>
      <c r="O81" s="646"/>
    </row>
    <row r="82" spans="1:15" ht="15.75" hidden="1" customHeight="1">
      <c r="A82" s="641"/>
      <c r="B82" s="687">
        <v>4040</v>
      </c>
      <c r="C82" s="710" t="s">
        <v>399</v>
      </c>
      <c r="D82" s="695"/>
      <c r="E82" s="695"/>
      <c r="F82" s="695"/>
      <c r="G82" s="695"/>
      <c r="H82" s="695">
        <v>10000</v>
      </c>
      <c r="I82" s="691"/>
      <c r="J82" s="692"/>
      <c r="K82" s="740">
        <f t="shared" si="24"/>
        <v>10000</v>
      </c>
      <c r="L82" s="646"/>
      <c r="M82" s="646"/>
      <c r="N82" s="646"/>
      <c r="O82" s="646"/>
    </row>
    <row r="83" spans="1:15" ht="15.75" hidden="1" customHeight="1">
      <c r="A83" s="641"/>
      <c r="B83" s="687">
        <v>4110</v>
      </c>
      <c r="C83" s="710" t="s">
        <v>387</v>
      </c>
      <c r="D83" s="695"/>
      <c r="E83" s="695"/>
      <c r="F83" s="695"/>
      <c r="G83" s="695"/>
      <c r="H83" s="695">
        <v>16962</v>
      </c>
      <c r="I83" s="691"/>
      <c r="J83" s="692"/>
      <c r="K83" s="636">
        <f t="shared" si="24"/>
        <v>16962</v>
      </c>
      <c r="L83" s="646"/>
      <c r="M83" s="646"/>
      <c r="N83" s="646"/>
      <c r="O83" s="646"/>
    </row>
    <row r="84" spans="1:15" ht="15.75" hidden="1" customHeight="1">
      <c r="A84" s="641"/>
      <c r="B84" s="741">
        <v>4120</v>
      </c>
      <c r="C84" s="742" t="s">
        <v>388</v>
      </c>
      <c r="D84" s="743"/>
      <c r="E84" s="743"/>
      <c r="F84" s="743"/>
      <c r="G84" s="743"/>
      <c r="H84" s="743">
        <v>2417</v>
      </c>
      <c r="I84" s="744"/>
      <c r="J84" s="745"/>
      <c r="K84" s="746">
        <f t="shared" si="24"/>
        <v>2417</v>
      </c>
      <c r="L84" s="646"/>
      <c r="M84" s="646"/>
      <c r="N84" s="646"/>
      <c r="O84" s="646"/>
    </row>
    <row r="85" spans="1:15" ht="15.75" hidden="1" customHeight="1">
      <c r="A85" s="747"/>
      <c r="B85" s="724">
        <v>4210</v>
      </c>
      <c r="C85" s="710" t="s">
        <v>390</v>
      </c>
      <c r="D85" s="726"/>
      <c r="E85" s="726"/>
      <c r="F85" s="726"/>
      <c r="G85" s="726"/>
      <c r="H85" s="726">
        <v>30000</v>
      </c>
      <c r="I85" s="748"/>
      <c r="J85" s="745"/>
      <c r="K85" s="749">
        <f t="shared" si="24"/>
        <v>30000</v>
      </c>
      <c r="L85" s="646"/>
      <c r="M85" s="646"/>
      <c r="N85" s="646"/>
      <c r="O85" s="646"/>
    </row>
    <row r="86" spans="1:15" ht="27" hidden="1" customHeight="1">
      <c r="A86" s="683"/>
      <c r="B86" s="673">
        <v>4700</v>
      </c>
      <c r="C86" s="714" t="s">
        <v>1182</v>
      </c>
      <c r="D86" s="679"/>
      <c r="E86" s="679"/>
      <c r="F86" s="679"/>
      <c r="G86" s="679"/>
      <c r="H86" s="651">
        <v>2000</v>
      </c>
      <c r="I86" s="680"/>
      <c r="J86" s="681"/>
      <c r="K86" s="746">
        <f t="shared" si="24"/>
        <v>2000</v>
      </c>
      <c r="L86" s="646"/>
      <c r="M86" s="646"/>
      <c r="N86" s="646"/>
      <c r="O86" s="646"/>
    </row>
    <row r="87" spans="1:15" s="605" customFormat="1" ht="38.25" hidden="1" customHeight="1">
      <c r="A87" s="638">
        <v>6</v>
      </c>
      <c r="B87" s="816"/>
      <c r="C87" s="750" t="s">
        <v>1209</v>
      </c>
      <c r="D87" s="603">
        <f>D88</f>
        <v>1530</v>
      </c>
      <c r="E87" s="603"/>
      <c r="F87" s="603"/>
      <c r="G87" s="720">
        <f>D87+E87-F87</f>
        <v>1530</v>
      </c>
      <c r="H87" s="603">
        <f>H90</f>
        <v>1530</v>
      </c>
      <c r="I87" s="604">
        <f t="shared" ref="I87:J87" si="25">I90</f>
        <v>0</v>
      </c>
      <c r="J87" s="604">
        <f t="shared" si="25"/>
        <v>0</v>
      </c>
      <c r="K87" s="701">
        <f>H87+I87-J87</f>
        <v>1530</v>
      </c>
      <c r="L87" s="721"/>
      <c r="M87" s="721"/>
      <c r="N87" s="721"/>
      <c r="O87" s="721"/>
    </row>
    <row r="88" spans="1:15" ht="61.5" hidden="1" customHeight="1">
      <c r="A88" s="641"/>
      <c r="B88" s="704">
        <v>90020</v>
      </c>
      <c r="C88" s="730" t="s">
        <v>1210</v>
      </c>
      <c r="D88" s="731">
        <v>1530</v>
      </c>
      <c r="E88" s="731"/>
      <c r="F88" s="731"/>
      <c r="G88" s="671">
        <f>D88+E88-F88</f>
        <v>1530</v>
      </c>
      <c r="H88" s="731"/>
      <c r="I88" s="751"/>
      <c r="J88" s="752"/>
      <c r="K88" s="752"/>
      <c r="L88" s="646"/>
      <c r="M88" s="646"/>
      <c r="N88" s="646"/>
      <c r="O88" s="646"/>
    </row>
    <row r="89" spans="1:15" s="737" customFormat="1" ht="16.5" hidden="1" customHeight="1">
      <c r="A89" s="606"/>
      <c r="B89" s="753" t="s">
        <v>1202</v>
      </c>
      <c r="C89" s="754" t="s">
        <v>1203</v>
      </c>
      <c r="D89" s="755">
        <v>1530</v>
      </c>
      <c r="E89" s="755"/>
      <c r="F89" s="755"/>
      <c r="G89" s="675">
        <f t="shared" ref="G89" si="26">D89+E89-F89</f>
        <v>1530</v>
      </c>
      <c r="H89" s="756"/>
      <c r="I89" s="680"/>
      <c r="J89" s="681"/>
      <c r="K89" s="681"/>
      <c r="L89" s="736"/>
      <c r="M89" s="736"/>
      <c r="N89" s="736"/>
      <c r="O89" s="736"/>
    </row>
    <row r="90" spans="1:15" ht="45" hidden="1" customHeight="1">
      <c r="A90" s="641"/>
      <c r="B90" s="723">
        <v>90020</v>
      </c>
      <c r="C90" s="732" t="s">
        <v>1211</v>
      </c>
      <c r="D90" s="733"/>
      <c r="E90" s="733"/>
      <c r="F90" s="733"/>
      <c r="G90" s="733"/>
      <c r="H90" s="733">
        <f>SUM(H91:H92)</f>
        <v>1530</v>
      </c>
      <c r="I90" s="733">
        <f t="shared" ref="I90:J90" si="27">SUM(I91:I92)</f>
        <v>0</v>
      </c>
      <c r="J90" s="733">
        <f t="shared" si="27"/>
        <v>0</v>
      </c>
      <c r="K90" s="671">
        <f>H90+I90-J90</f>
        <v>1530</v>
      </c>
      <c r="L90" s="646"/>
      <c r="M90" s="646"/>
      <c r="N90" s="646"/>
      <c r="O90" s="646"/>
    </row>
    <row r="91" spans="1:15" ht="16.5" hidden="1" customHeight="1">
      <c r="A91" s="641"/>
      <c r="B91" s="687">
        <v>4210</v>
      </c>
      <c r="C91" s="710" t="s">
        <v>390</v>
      </c>
      <c r="D91" s="694"/>
      <c r="E91" s="694"/>
      <c r="F91" s="694"/>
      <c r="G91" s="694"/>
      <c r="H91" s="695">
        <v>1210</v>
      </c>
      <c r="I91" s="691"/>
      <c r="J91" s="692"/>
      <c r="K91" s="727">
        <f t="shared" ref="K91:K92" si="28">H91+I91-J91</f>
        <v>1210</v>
      </c>
      <c r="L91" s="646"/>
      <c r="M91" s="646"/>
      <c r="N91" s="646"/>
      <c r="O91" s="646"/>
    </row>
    <row r="92" spans="1:15" ht="16.5" hidden="1" customHeight="1">
      <c r="A92" s="683"/>
      <c r="B92" s="757">
        <v>4610</v>
      </c>
      <c r="C92" s="632" t="s">
        <v>1181</v>
      </c>
      <c r="D92" s="758"/>
      <c r="E92" s="758"/>
      <c r="F92" s="758"/>
      <c r="G92" s="758"/>
      <c r="H92" s="759">
        <v>320</v>
      </c>
      <c r="I92" s="680"/>
      <c r="J92" s="681"/>
      <c r="K92" s="740">
        <f t="shared" si="28"/>
        <v>320</v>
      </c>
      <c r="L92" s="646"/>
      <c r="M92" s="646"/>
      <c r="N92" s="646"/>
      <c r="O92" s="646"/>
    </row>
    <row r="93" spans="1:15" s="605" customFormat="1" ht="29.25" hidden="1" customHeight="1">
      <c r="A93" s="638">
        <v>7</v>
      </c>
      <c r="B93" s="816"/>
      <c r="C93" s="602" t="s">
        <v>1212</v>
      </c>
      <c r="D93" s="603">
        <f>D94</f>
        <v>3510</v>
      </c>
      <c r="E93" s="603"/>
      <c r="F93" s="603"/>
      <c r="G93" s="720">
        <f>D93+E93-F93</f>
        <v>3510</v>
      </c>
      <c r="H93" s="603">
        <f>H96</f>
        <v>3510</v>
      </c>
      <c r="I93" s="603">
        <f t="shared" ref="I93:J93" si="29">I96</f>
        <v>0</v>
      </c>
      <c r="J93" s="603">
        <f t="shared" si="29"/>
        <v>0</v>
      </c>
      <c r="K93" s="701">
        <f>H93+I93-J93</f>
        <v>3510</v>
      </c>
      <c r="L93" s="721"/>
      <c r="M93" s="721"/>
      <c r="N93" s="721"/>
      <c r="O93" s="721"/>
    </row>
    <row r="94" spans="1:15" ht="30.75" hidden="1" customHeight="1">
      <c r="A94" s="641"/>
      <c r="B94" s="704">
        <v>90024</v>
      </c>
      <c r="C94" s="760" t="s">
        <v>1213</v>
      </c>
      <c r="D94" s="731">
        <v>3510</v>
      </c>
      <c r="E94" s="731"/>
      <c r="F94" s="731"/>
      <c r="G94" s="671">
        <f>D94+E94-F94</f>
        <v>3510</v>
      </c>
      <c r="H94" s="731"/>
      <c r="I94" s="669"/>
      <c r="J94" s="670"/>
      <c r="K94" s="670"/>
      <c r="L94" s="646"/>
      <c r="M94" s="646"/>
      <c r="N94" s="646"/>
      <c r="O94" s="646"/>
    </row>
    <row r="95" spans="1:15" s="737" customFormat="1" ht="18.75" hidden="1" customHeight="1">
      <c r="A95" s="606"/>
      <c r="B95" s="753" t="s">
        <v>1179</v>
      </c>
      <c r="C95" s="722" t="s">
        <v>1180</v>
      </c>
      <c r="D95" s="755">
        <v>3510</v>
      </c>
      <c r="E95" s="755"/>
      <c r="F95" s="755"/>
      <c r="G95" s="675">
        <f t="shared" ref="G95" si="30">D95+E95-F95</f>
        <v>3510</v>
      </c>
      <c r="H95" s="756"/>
      <c r="I95" s="680"/>
      <c r="J95" s="681"/>
      <c r="K95" s="681"/>
      <c r="L95" s="736"/>
      <c r="M95" s="736"/>
      <c r="N95" s="736"/>
      <c r="O95" s="736"/>
    </row>
    <row r="96" spans="1:15" ht="29.25" hidden="1" customHeight="1">
      <c r="A96" s="641"/>
      <c r="B96" s="678">
        <v>90024</v>
      </c>
      <c r="C96" s="761" t="s">
        <v>1214</v>
      </c>
      <c r="D96" s="733"/>
      <c r="E96" s="715"/>
      <c r="F96" s="715"/>
      <c r="G96" s="715"/>
      <c r="H96" s="715">
        <f>H97+H98</f>
        <v>3510</v>
      </c>
      <c r="I96" s="715">
        <f t="shared" ref="I96:J96" si="31">I97+I98</f>
        <v>0</v>
      </c>
      <c r="J96" s="715">
        <f t="shared" si="31"/>
        <v>0</v>
      </c>
      <c r="K96" s="671">
        <f>H96+I96-J96</f>
        <v>3510</v>
      </c>
      <c r="L96" s="646"/>
      <c r="M96" s="646"/>
      <c r="N96" s="646"/>
      <c r="O96" s="646"/>
    </row>
    <row r="97" spans="1:15" s="737" customFormat="1" ht="18" hidden="1" customHeight="1">
      <c r="A97" s="606"/>
      <c r="B97" s="659">
        <v>4010</v>
      </c>
      <c r="C97" s="734" t="s">
        <v>386</v>
      </c>
      <c r="D97" s="735"/>
      <c r="E97" s="735"/>
      <c r="F97" s="735"/>
      <c r="G97" s="735"/>
      <c r="H97" s="615">
        <v>2000</v>
      </c>
      <c r="I97" s="691"/>
      <c r="J97" s="692"/>
      <c r="K97" s="727">
        <f t="shared" ref="K97:K98" si="32">H97+I97-J97</f>
        <v>2000</v>
      </c>
      <c r="L97" s="736"/>
      <c r="M97" s="736"/>
      <c r="N97" s="736"/>
      <c r="O97" s="736"/>
    </row>
    <row r="98" spans="1:15" s="737" customFormat="1" ht="18" hidden="1" customHeight="1">
      <c r="A98" s="762"/>
      <c r="B98" s="763">
        <v>4300</v>
      </c>
      <c r="C98" s="734" t="s">
        <v>391</v>
      </c>
      <c r="D98" s="756"/>
      <c r="E98" s="756"/>
      <c r="F98" s="756"/>
      <c r="G98" s="756"/>
      <c r="H98" s="755">
        <v>1510</v>
      </c>
      <c r="I98" s="680"/>
      <c r="J98" s="681"/>
      <c r="K98" s="740">
        <f t="shared" si="32"/>
        <v>1510</v>
      </c>
      <c r="L98" s="736"/>
      <c r="M98" s="736"/>
      <c r="N98" s="736"/>
      <c r="O98" s="736"/>
    </row>
    <row r="99" spans="1:15" s="605" customFormat="1" ht="27" hidden="1" customHeight="1">
      <c r="A99" s="638">
        <v>8</v>
      </c>
      <c r="B99" s="718"/>
      <c r="C99" s="602" t="s">
        <v>1215</v>
      </c>
      <c r="D99" s="720">
        <f>D100</f>
        <v>100</v>
      </c>
      <c r="E99" s="720"/>
      <c r="F99" s="720"/>
      <c r="G99" s="720">
        <f>D99+E99-F99</f>
        <v>100</v>
      </c>
      <c r="H99" s="720">
        <f>H102</f>
        <v>100</v>
      </c>
      <c r="I99" s="764"/>
      <c r="J99" s="701"/>
      <c r="K99" s="701">
        <f>H99+I99-J99</f>
        <v>100</v>
      </c>
      <c r="L99" s="721"/>
      <c r="M99" s="721"/>
      <c r="N99" s="721"/>
      <c r="O99" s="721"/>
    </row>
    <row r="100" spans="1:15" ht="29.25" hidden="1" customHeight="1">
      <c r="A100" s="641"/>
      <c r="B100" s="704">
        <v>90026</v>
      </c>
      <c r="C100" s="730" t="s">
        <v>1216</v>
      </c>
      <c r="D100" s="731">
        <f>D101</f>
        <v>100</v>
      </c>
      <c r="E100" s="731"/>
      <c r="F100" s="731"/>
      <c r="G100" s="671">
        <f>D100+E100-F100</f>
        <v>100</v>
      </c>
      <c r="H100" s="731"/>
      <c r="I100" s="669"/>
      <c r="J100" s="670"/>
      <c r="K100" s="670"/>
      <c r="L100" s="646"/>
      <c r="M100" s="646"/>
      <c r="N100" s="646"/>
      <c r="O100" s="646"/>
    </row>
    <row r="101" spans="1:15" ht="16.5" hidden="1" customHeight="1">
      <c r="A101" s="641"/>
      <c r="B101" s="649" t="s">
        <v>1206</v>
      </c>
      <c r="C101" s="696" t="s">
        <v>1207</v>
      </c>
      <c r="D101" s="698">
        <v>100</v>
      </c>
      <c r="E101" s="698"/>
      <c r="F101" s="698"/>
      <c r="G101" s="675">
        <f t="shared" ref="G101" si="33">D101+E101-F101</f>
        <v>100</v>
      </c>
      <c r="H101" s="697"/>
      <c r="I101" s="680"/>
      <c r="J101" s="681"/>
      <c r="K101" s="681"/>
      <c r="L101" s="646"/>
      <c r="M101" s="646"/>
      <c r="N101" s="646"/>
      <c r="O101" s="646"/>
    </row>
    <row r="102" spans="1:15" ht="31.5" hidden="1" customHeight="1">
      <c r="A102" s="641"/>
      <c r="B102" s="723">
        <v>90026</v>
      </c>
      <c r="C102" s="765" t="s">
        <v>1217</v>
      </c>
      <c r="D102" s="709"/>
      <c r="E102" s="709"/>
      <c r="F102" s="709"/>
      <c r="G102" s="709"/>
      <c r="H102" s="709">
        <f>H103</f>
        <v>100</v>
      </c>
      <c r="I102" s="709">
        <f t="shared" ref="I102:J102" si="34">I103</f>
        <v>0</v>
      </c>
      <c r="J102" s="709">
        <f t="shared" si="34"/>
        <v>0</v>
      </c>
      <c r="K102" s="671">
        <f>H102+I102-J102</f>
        <v>100</v>
      </c>
      <c r="L102" s="646"/>
      <c r="M102" s="646"/>
      <c r="N102" s="646"/>
      <c r="O102" s="646"/>
    </row>
    <row r="103" spans="1:15" ht="16.5" hidden="1" customHeight="1">
      <c r="A103" s="683"/>
      <c r="B103" s="673">
        <v>4210</v>
      </c>
      <c r="C103" s="710" t="s">
        <v>390</v>
      </c>
      <c r="D103" s="697"/>
      <c r="E103" s="697"/>
      <c r="F103" s="697"/>
      <c r="G103" s="697"/>
      <c r="H103" s="698">
        <v>100</v>
      </c>
      <c r="I103" s="680"/>
      <c r="J103" s="681"/>
      <c r="K103" s="727">
        <f t="shared" ref="K103" si="35">H103+I103-J103</f>
        <v>100</v>
      </c>
      <c r="L103" s="646"/>
      <c r="M103" s="646"/>
      <c r="N103" s="646"/>
      <c r="O103" s="646"/>
    </row>
    <row r="104" spans="1:15" s="605" customFormat="1" ht="29.25" hidden="1" customHeight="1">
      <c r="A104" s="638">
        <v>9</v>
      </c>
      <c r="B104" s="718"/>
      <c r="C104" s="602" t="s">
        <v>1218</v>
      </c>
      <c r="D104" s="720">
        <f>D105</f>
        <v>200</v>
      </c>
      <c r="E104" s="720"/>
      <c r="F104" s="720"/>
      <c r="G104" s="720">
        <f>D104+E104-F104</f>
        <v>200</v>
      </c>
      <c r="H104" s="720">
        <f>H107</f>
        <v>200</v>
      </c>
      <c r="I104" s="720">
        <f t="shared" ref="I104:J104" si="36">I107</f>
        <v>0</v>
      </c>
      <c r="J104" s="720">
        <f t="shared" si="36"/>
        <v>0</v>
      </c>
      <c r="K104" s="701">
        <f>H104+I104-J104</f>
        <v>200</v>
      </c>
      <c r="L104" s="721"/>
      <c r="M104" s="721"/>
      <c r="N104" s="721"/>
      <c r="O104" s="721"/>
    </row>
    <row r="105" spans="1:15" ht="30" hidden="1" customHeight="1">
      <c r="A105" s="641"/>
      <c r="B105" s="704">
        <v>90095</v>
      </c>
      <c r="C105" s="730" t="s">
        <v>1219</v>
      </c>
      <c r="D105" s="731">
        <f>D106</f>
        <v>200</v>
      </c>
      <c r="E105" s="731"/>
      <c r="F105" s="731"/>
      <c r="G105" s="671">
        <f>D105+E105-F105</f>
        <v>200</v>
      </c>
      <c r="H105" s="731"/>
      <c r="I105" s="669"/>
      <c r="J105" s="670"/>
      <c r="K105" s="670"/>
      <c r="L105" s="646"/>
      <c r="M105" s="646"/>
      <c r="N105" s="646"/>
      <c r="O105" s="646"/>
    </row>
    <row r="106" spans="1:15" s="737" customFormat="1" ht="16.5" hidden="1" customHeight="1">
      <c r="A106" s="606"/>
      <c r="B106" s="753" t="s">
        <v>1179</v>
      </c>
      <c r="C106" s="722" t="s">
        <v>1180</v>
      </c>
      <c r="D106" s="755">
        <v>200</v>
      </c>
      <c r="E106" s="755"/>
      <c r="F106" s="755"/>
      <c r="G106" s="675">
        <f t="shared" ref="G106" si="37">D106+E106-F106</f>
        <v>200</v>
      </c>
      <c r="H106" s="756"/>
      <c r="I106" s="680"/>
      <c r="J106" s="681"/>
      <c r="K106" s="681"/>
      <c r="L106" s="736"/>
      <c r="M106" s="736"/>
      <c r="N106" s="736"/>
      <c r="O106" s="736"/>
    </row>
    <row r="107" spans="1:15" ht="30.75" hidden="1" customHeight="1">
      <c r="A107" s="641"/>
      <c r="B107" s="723">
        <v>90095</v>
      </c>
      <c r="C107" s="732" t="s">
        <v>1220</v>
      </c>
      <c r="D107" s="733"/>
      <c r="E107" s="733"/>
      <c r="F107" s="733"/>
      <c r="G107" s="733"/>
      <c r="H107" s="733">
        <f>H108</f>
        <v>200</v>
      </c>
      <c r="I107" s="733">
        <f t="shared" ref="I107:J107" si="38">I108</f>
        <v>0</v>
      </c>
      <c r="J107" s="733">
        <f t="shared" si="38"/>
        <v>0</v>
      </c>
      <c r="K107" s="671">
        <f>H107+I107-J107</f>
        <v>200</v>
      </c>
      <c r="L107" s="646"/>
      <c r="M107" s="646"/>
      <c r="N107" s="646"/>
      <c r="O107" s="646"/>
    </row>
    <row r="108" spans="1:15" ht="16.5" hidden="1" customHeight="1">
      <c r="A108" s="683"/>
      <c r="B108" s="673">
        <v>4210</v>
      </c>
      <c r="C108" s="710" t="s">
        <v>390</v>
      </c>
      <c r="D108" s="697"/>
      <c r="E108" s="697"/>
      <c r="F108" s="697"/>
      <c r="G108" s="697"/>
      <c r="H108" s="698">
        <v>200</v>
      </c>
      <c r="I108" s="680"/>
      <c r="J108" s="681"/>
      <c r="K108" s="727">
        <f t="shared" ref="K108" si="39">H108+I108-J108</f>
        <v>200</v>
      </c>
      <c r="L108" s="646"/>
      <c r="M108" s="646"/>
      <c r="N108" s="646"/>
      <c r="O108" s="646"/>
    </row>
    <row r="109" spans="1:15" s="703" customFormat="1" ht="19.5" hidden="1" customHeight="1">
      <c r="A109" s="600">
        <v>10</v>
      </c>
      <c r="B109" s="766"/>
      <c r="C109" s="700" t="s">
        <v>1221</v>
      </c>
      <c r="D109" s="701">
        <f>D110</f>
        <v>409975</v>
      </c>
      <c r="E109" s="701"/>
      <c r="F109" s="701"/>
      <c r="G109" s="701">
        <f>D109+E109-F109</f>
        <v>409975</v>
      </c>
      <c r="H109" s="701">
        <f>H112</f>
        <v>409975</v>
      </c>
      <c r="I109" s="701">
        <f t="shared" ref="I109:J109" si="40">I112</f>
        <v>0</v>
      </c>
      <c r="J109" s="701">
        <f t="shared" si="40"/>
        <v>0</v>
      </c>
      <c r="K109" s="701">
        <f>H109+I109-J109</f>
        <v>409975</v>
      </c>
      <c r="L109" s="702"/>
      <c r="M109" s="702"/>
      <c r="N109" s="702"/>
      <c r="O109" s="702"/>
    </row>
    <row r="110" spans="1:15" ht="16.5" hidden="1" customHeight="1">
      <c r="A110" s="641"/>
      <c r="B110" s="704">
        <v>90095</v>
      </c>
      <c r="C110" s="767" t="s">
        <v>1222</v>
      </c>
      <c r="D110" s="706">
        <f>D111</f>
        <v>409975</v>
      </c>
      <c r="E110" s="706"/>
      <c r="F110" s="706"/>
      <c r="G110" s="671">
        <f>D110+E110-F110</f>
        <v>409975</v>
      </c>
      <c r="H110" s="706"/>
      <c r="I110" s="669"/>
      <c r="J110" s="670"/>
      <c r="K110" s="670"/>
      <c r="L110" s="646"/>
      <c r="M110" s="646"/>
      <c r="N110" s="646"/>
      <c r="O110" s="646"/>
    </row>
    <row r="111" spans="1:15" ht="16.5" hidden="1" customHeight="1">
      <c r="A111" s="641"/>
      <c r="B111" s="753" t="s">
        <v>1179</v>
      </c>
      <c r="C111" s="722" t="s">
        <v>1180</v>
      </c>
      <c r="D111" s="755">
        <v>409975</v>
      </c>
      <c r="E111" s="768"/>
      <c r="F111" s="768"/>
      <c r="G111" s="675">
        <f t="shared" ref="G111" si="41">D111+E111-F111</f>
        <v>409975</v>
      </c>
      <c r="H111" s="769"/>
      <c r="I111" s="680"/>
      <c r="J111" s="681"/>
      <c r="K111" s="681"/>
      <c r="L111" s="646"/>
      <c r="M111" s="646"/>
      <c r="N111" s="646"/>
      <c r="O111" s="646"/>
    </row>
    <row r="112" spans="1:15" ht="16.5" hidden="1" customHeight="1">
      <c r="A112" s="641"/>
      <c r="B112" s="723">
        <v>90095</v>
      </c>
      <c r="C112" s="770" t="s">
        <v>1223</v>
      </c>
      <c r="D112" s="709"/>
      <c r="E112" s="709"/>
      <c r="F112" s="709"/>
      <c r="G112" s="709"/>
      <c r="H112" s="709">
        <f>SUM(H113:H120)</f>
        <v>409975</v>
      </c>
      <c r="I112" s="709">
        <f t="shared" ref="I112:J112" si="42">SUM(I113:I120)</f>
        <v>0</v>
      </c>
      <c r="J112" s="709">
        <f t="shared" si="42"/>
        <v>0</v>
      </c>
      <c r="K112" s="671">
        <f>H112+I112-J112</f>
        <v>409975</v>
      </c>
      <c r="L112" s="646"/>
      <c r="M112" s="646"/>
      <c r="N112" s="646"/>
      <c r="O112" s="646"/>
    </row>
    <row r="113" spans="1:15" s="737" customFormat="1" ht="16.5" hidden="1" customHeight="1">
      <c r="A113" s="606"/>
      <c r="B113" s="659">
        <v>4010</v>
      </c>
      <c r="C113" s="734" t="s">
        <v>386</v>
      </c>
      <c r="D113" s="735"/>
      <c r="E113" s="735"/>
      <c r="F113" s="735"/>
      <c r="G113" s="735"/>
      <c r="H113" s="615">
        <v>319526</v>
      </c>
      <c r="I113" s="711"/>
      <c r="J113" s="712"/>
      <c r="K113" s="727">
        <f>H113+I113-J113</f>
        <v>319526</v>
      </c>
      <c r="L113" s="736"/>
      <c r="M113" s="736"/>
      <c r="N113" s="736"/>
      <c r="O113" s="736"/>
    </row>
    <row r="114" spans="1:15" s="737" customFormat="1" ht="16.5" hidden="1" customHeight="1">
      <c r="A114" s="606"/>
      <c r="B114" s="659">
        <v>4040</v>
      </c>
      <c r="C114" s="734" t="s">
        <v>399</v>
      </c>
      <c r="D114" s="735"/>
      <c r="E114" s="735"/>
      <c r="F114" s="735"/>
      <c r="G114" s="735"/>
      <c r="H114" s="615">
        <v>10783</v>
      </c>
      <c r="I114" s="711"/>
      <c r="J114" s="712"/>
      <c r="K114" s="727">
        <f t="shared" ref="K114:K120" si="43">H114+I114-J114</f>
        <v>10783</v>
      </c>
      <c r="L114" s="736"/>
      <c r="M114" s="736"/>
      <c r="N114" s="736"/>
      <c r="O114" s="736"/>
    </row>
    <row r="115" spans="1:15" s="737" customFormat="1" ht="16.5" hidden="1" customHeight="1">
      <c r="A115" s="606"/>
      <c r="B115" s="664">
        <v>4110</v>
      </c>
      <c r="C115" s="771" t="s">
        <v>387</v>
      </c>
      <c r="D115" s="739"/>
      <c r="E115" s="739"/>
      <c r="F115" s="739"/>
      <c r="G115" s="739"/>
      <c r="H115" s="620">
        <v>56782</v>
      </c>
      <c r="I115" s="711"/>
      <c r="J115" s="712"/>
      <c r="K115" s="727">
        <f t="shared" si="43"/>
        <v>56782</v>
      </c>
      <c r="L115" s="736"/>
      <c r="M115" s="736"/>
      <c r="N115" s="736"/>
      <c r="O115" s="736"/>
    </row>
    <row r="116" spans="1:15" s="737" customFormat="1" ht="16.5" hidden="1" customHeight="1">
      <c r="A116" s="606"/>
      <c r="B116" s="772">
        <v>4120</v>
      </c>
      <c r="C116" s="773" t="s">
        <v>388</v>
      </c>
      <c r="D116" s="774"/>
      <c r="E116" s="774"/>
      <c r="F116" s="774"/>
      <c r="G116" s="774"/>
      <c r="H116" s="775">
        <v>8091</v>
      </c>
      <c r="I116" s="711"/>
      <c r="J116" s="712"/>
      <c r="K116" s="727">
        <f t="shared" si="43"/>
        <v>8091</v>
      </c>
      <c r="L116" s="736"/>
      <c r="M116" s="736"/>
      <c r="N116" s="736"/>
      <c r="O116" s="736"/>
    </row>
    <row r="117" spans="1:15" s="737" customFormat="1" ht="16.5" hidden="1" customHeight="1">
      <c r="A117" s="606"/>
      <c r="B117" s="659">
        <v>4210</v>
      </c>
      <c r="C117" s="734" t="s">
        <v>390</v>
      </c>
      <c r="D117" s="735"/>
      <c r="E117" s="735"/>
      <c r="F117" s="735"/>
      <c r="G117" s="735"/>
      <c r="H117" s="615">
        <v>0</v>
      </c>
      <c r="I117" s="711"/>
      <c r="J117" s="712"/>
      <c r="K117" s="727">
        <f t="shared" si="43"/>
        <v>0</v>
      </c>
      <c r="L117" s="736"/>
      <c r="M117" s="736"/>
      <c r="N117" s="736"/>
      <c r="O117" s="736"/>
    </row>
    <row r="118" spans="1:15" ht="15" hidden="1" customHeight="1">
      <c r="A118" s="641"/>
      <c r="B118" s="687">
        <v>4300</v>
      </c>
      <c r="C118" s="710" t="s">
        <v>391</v>
      </c>
      <c r="D118" s="694"/>
      <c r="E118" s="694"/>
      <c r="F118" s="694"/>
      <c r="G118" s="694"/>
      <c r="H118" s="695">
        <v>3000</v>
      </c>
      <c r="I118" s="711"/>
      <c r="J118" s="712"/>
      <c r="K118" s="636">
        <f t="shared" si="43"/>
        <v>3000</v>
      </c>
      <c r="L118" s="646"/>
      <c r="M118" s="646"/>
      <c r="N118" s="646"/>
      <c r="O118" s="646"/>
    </row>
    <row r="119" spans="1:15" ht="30.75" hidden="1" customHeight="1">
      <c r="A119" s="641"/>
      <c r="B119" s="687">
        <v>4700</v>
      </c>
      <c r="C119" s="776" t="s">
        <v>1182</v>
      </c>
      <c r="D119" s="777"/>
      <c r="E119" s="777"/>
      <c r="F119" s="777"/>
      <c r="G119" s="777"/>
      <c r="H119" s="778">
        <v>7000</v>
      </c>
      <c r="I119" s="779"/>
      <c r="J119" s="740"/>
      <c r="K119" s="727">
        <f t="shared" si="43"/>
        <v>7000</v>
      </c>
      <c r="L119" s="646"/>
      <c r="M119" s="646"/>
      <c r="N119" s="646"/>
      <c r="O119" s="646"/>
    </row>
    <row r="120" spans="1:15" ht="18" hidden="1" customHeight="1">
      <c r="A120" s="780"/>
      <c r="B120" s="687">
        <v>4710</v>
      </c>
      <c r="C120" s="677" t="s">
        <v>416</v>
      </c>
      <c r="D120" s="697"/>
      <c r="E120" s="697"/>
      <c r="F120" s="697"/>
      <c r="G120" s="697"/>
      <c r="H120" s="698">
        <v>4793</v>
      </c>
      <c r="I120" s="781"/>
      <c r="J120" s="782"/>
      <c r="K120" s="783">
        <f t="shared" si="43"/>
        <v>4793</v>
      </c>
      <c r="L120" s="646"/>
      <c r="M120" s="646"/>
      <c r="N120" s="646"/>
      <c r="O120" s="646"/>
    </row>
    <row r="121" spans="1:15" s="737" customFormat="1" ht="21" customHeight="1">
      <c r="A121" s="1320" t="s">
        <v>1224</v>
      </c>
      <c r="B121" s="1321"/>
      <c r="C121" s="1322"/>
      <c r="D121" s="784">
        <f>D25+D70+D87+D93+D58+D44+D104+D99+D109+D10</f>
        <v>8711315</v>
      </c>
      <c r="E121" s="784">
        <f t="shared" ref="E121:F121" si="44">E25+E70+E87+E93+E58+E44+E104+E99+E109+E10</f>
        <v>10807</v>
      </c>
      <c r="F121" s="784">
        <f t="shared" si="44"/>
        <v>0</v>
      </c>
      <c r="G121" s="784">
        <f>D121+E121-F121</f>
        <v>8722122</v>
      </c>
      <c r="H121" s="784">
        <f>H25+H70+H87+H93+H58+H44+H104+H99+H109+H10</f>
        <v>10711315</v>
      </c>
      <c r="I121" s="784">
        <f t="shared" ref="I121:J121" si="45">I25+I70+I87+I93+I58+I44+I104+I99+I109+I10</f>
        <v>10807</v>
      </c>
      <c r="J121" s="784">
        <f t="shared" si="45"/>
        <v>0</v>
      </c>
      <c r="K121" s="785">
        <f>H121+I121-J121</f>
        <v>10722122</v>
      </c>
      <c r="L121" s="736"/>
      <c r="M121" s="736"/>
      <c r="N121" s="736"/>
      <c r="O121" s="736"/>
    </row>
    <row r="122" spans="1:15">
      <c r="D122" s="646"/>
      <c r="E122" s="646"/>
      <c r="F122" s="646"/>
      <c r="G122" s="646"/>
      <c r="H122" s="646"/>
      <c r="I122" s="646"/>
      <c r="J122" s="646"/>
      <c r="K122" s="646"/>
      <c r="L122" s="646"/>
      <c r="M122" s="646"/>
      <c r="N122" s="646"/>
      <c r="O122" s="646"/>
    </row>
  </sheetData>
  <sheetProtection password="C25B" sheet="1" objects="1" scenarios="1"/>
  <mergeCells count="11">
    <mergeCell ref="A121:C121"/>
    <mergeCell ref="C1:H1"/>
    <mergeCell ref="C2:H2"/>
    <mergeCell ref="C3:H3"/>
    <mergeCell ref="A5:K5"/>
    <mergeCell ref="A6:K6"/>
    <mergeCell ref="A8:A9"/>
    <mergeCell ref="B8:B9"/>
    <mergeCell ref="C8:C9"/>
    <mergeCell ref="D8:G8"/>
    <mergeCell ref="H8:K8"/>
  </mergeCells>
  <printOptions horizontalCentered="1"/>
  <pageMargins left="0.78740157480314965" right="0.70866141732283472" top="0.98425196850393704" bottom="0.74803149606299213" header="0.31496062992125984" footer="0.1968503937007874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view="pageBreakPreview" topLeftCell="A63" zoomScaleNormal="100" zoomScaleSheetLayoutView="100" workbookViewId="0">
      <selection activeCell="C75" sqref="C75"/>
    </sheetView>
  </sheetViews>
  <sheetFormatPr defaultColWidth="9" defaultRowHeight="12.75"/>
  <cols>
    <col min="1" max="1" width="7.625" style="237" customWidth="1"/>
    <col min="2" max="2" width="7.125" style="236" customWidth="1"/>
    <col min="3" max="3" width="37.375" style="235" customWidth="1"/>
    <col min="4" max="4" width="12.5" style="235" customWidth="1"/>
    <col min="5" max="5" width="10.875" style="235" customWidth="1"/>
    <col min="6" max="6" width="10.5" style="235" customWidth="1"/>
    <col min="7" max="7" width="12.5" style="235" customWidth="1"/>
    <col min="8" max="16384" width="9" style="235"/>
  </cols>
  <sheetData>
    <row r="1" spans="1:11">
      <c r="A1" s="282"/>
      <c r="D1" s="281"/>
      <c r="E1" s="283" t="s">
        <v>516</v>
      </c>
      <c r="F1" s="281"/>
      <c r="G1" s="281"/>
    </row>
    <row r="2" spans="1:11">
      <c r="A2" s="282"/>
      <c r="D2" s="281"/>
      <c r="E2" s="283" t="s">
        <v>515</v>
      </c>
      <c r="F2" s="281"/>
      <c r="G2" s="281"/>
    </row>
    <row r="3" spans="1:11">
      <c r="A3" s="282"/>
      <c r="D3" s="281"/>
      <c r="E3" s="283" t="s">
        <v>514</v>
      </c>
      <c r="F3" s="281"/>
      <c r="G3" s="281"/>
    </row>
    <row r="4" spans="1:11" ht="6" customHeight="1">
      <c r="A4" s="282"/>
      <c r="D4" s="281"/>
      <c r="E4" s="281"/>
      <c r="F4" s="281"/>
      <c r="G4" s="281"/>
    </row>
    <row r="5" spans="1:11" ht="48.75" customHeight="1">
      <c r="A5" s="876" t="s">
        <v>513</v>
      </c>
      <c r="B5" s="876"/>
      <c r="C5" s="876"/>
      <c r="D5" s="876"/>
      <c r="E5" s="876"/>
      <c r="F5" s="876"/>
      <c r="G5" s="876"/>
    </row>
    <row r="6" spans="1:11" ht="13.5" customHeight="1">
      <c r="A6" s="282"/>
      <c r="D6" s="281"/>
      <c r="E6" s="281"/>
      <c r="F6" s="281"/>
      <c r="G6" s="455" t="s">
        <v>0</v>
      </c>
    </row>
    <row r="7" spans="1:11" ht="34.5" customHeight="1">
      <c r="A7" s="280" t="s">
        <v>512</v>
      </c>
      <c r="B7" s="280" t="s">
        <v>2</v>
      </c>
      <c r="C7" s="792" t="s">
        <v>3</v>
      </c>
      <c r="D7" s="790" t="s">
        <v>511</v>
      </c>
      <c r="E7" s="790" t="s">
        <v>510</v>
      </c>
      <c r="F7" s="790" t="s">
        <v>6</v>
      </c>
      <c r="G7" s="790" t="s">
        <v>509</v>
      </c>
    </row>
    <row r="8" spans="1:11">
      <c r="A8" s="279" t="s">
        <v>508</v>
      </c>
      <c r="B8" s="278" t="s">
        <v>507</v>
      </c>
      <c r="C8" s="277" t="s">
        <v>506</v>
      </c>
      <c r="D8" s="276" t="s">
        <v>505</v>
      </c>
      <c r="E8" s="276" t="s">
        <v>504</v>
      </c>
      <c r="F8" s="276" t="s">
        <v>503</v>
      </c>
      <c r="G8" s="276" t="s">
        <v>502</v>
      </c>
    </row>
    <row r="9" spans="1:11" s="271" customFormat="1" ht="19.5" customHeight="1">
      <c r="A9" s="275"/>
      <c r="B9" s="275"/>
      <c r="C9" s="274" t="s">
        <v>501</v>
      </c>
      <c r="D9" s="273">
        <v>1262871459</v>
      </c>
      <c r="E9" s="272">
        <f>E10+E15+E26+E29+E33+E36+E39+E62+E65+E73</f>
        <v>111591027</v>
      </c>
      <c r="F9" s="272">
        <f>F10+F15+F26+F29+F33+F36+F39+F62+F65+F73</f>
        <v>9757948</v>
      </c>
      <c r="G9" s="272">
        <f t="shared" ref="G9:G40" si="0">D9+E9-F9</f>
        <v>1364704538</v>
      </c>
    </row>
    <row r="10" spans="1:11" s="248" customFormat="1" ht="17.25" customHeight="1">
      <c r="A10" s="256">
        <v>150</v>
      </c>
      <c r="B10" s="255" t="s">
        <v>382</v>
      </c>
      <c r="C10" s="270" t="s">
        <v>98</v>
      </c>
      <c r="D10" s="253">
        <v>4269282</v>
      </c>
      <c r="E10" s="253">
        <f>E11+E13</f>
        <v>370852</v>
      </c>
      <c r="F10" s="253">
        <v>0</v>
      </c>
      <c r="G10" s="253">
        <f t="shared" si="0"/>
        <v>4640134</v>
      </c>
      <c r="H10" s="269"/>
      <c r="I10" s="269"/>
      <c r="J10" s="269"/>
      <c r="K10" s="269"/>
    </row>
    <row r="11" spans="1:11" s="248" customFormat="1" ht="17.25" customHeight="1">
      <c r="A11" s="252">
        <v>15011</v>
      </c>
      <c r="B11" s="251" t="s">
        <v>382</v>
      </c>
      <c r="C11" s="250" t="s">
        <v>383</v>
      </c>
      <c r="D11" s="249">
        <v>4155401</v>
      </c>
      <c r="E11" s="249">
        <f>E12</f>
        <v>314755</v>
      </c>
      <c r="F11" s="249">
        <v>0</v>
      </c>
      <c r="G11" s="249">
        <f t="shared" si="0"/>
        <v>4470156</v>
      </c>
    </row>
    <row r="12" spans="1:11" s="238" customFormat="1" ht="52.5" customHeight="1">
      <c r="A12" s="247" t="s">
        <v>382</v>
      </c>
      <c r="B12" s="246">
        <v>2460</v>
      </c>
      <c r="C12" s="245" t="s">
        <v>500</v>
      </c>
      <c r="D12" s="244">
        <v>3205186</v>
      </c>
      <c r="E12" s="244">
        <v>314755</v>
      </c>
      <c r="F12" s="244">
        <v>0</v>
      </c>
      <c r="G12" s="244">
        <f t="shared" si="0"/>
        <v>3519941</v>
      </c>
    </row>
    <row r="13" spans="1:11" s="248" customFormat="1" ht="17.25" customHeight="1">
      <c r="A13" s="252">
        <v>15095</v>
      </c>
      <c r="B13" s="251" t="s">
        <v>382</v>
      </c>
      <c r="C13" s="250" t="s">
        <v>51</v>
      </c>
      <c r="D13" s="249">
        <v>113764</v>
      </c>
      <c r="E13" s="249">
        <f>E14</f>
        <v>56097</v>
      </c>
      <c r="F13" s="249">
        <v>0</v>
      </c>
      <c r="G13" s="249">
        <f t="shared" si="0"/>
        <v>169861</v>
      </c>
    </row>
    <row r="14" spans="1:11" s="238" customFormat="1" ht="66.75" customHeight="1">
      <c r="A14" s="247" t="s">
        <v>382</v>
      </c>
      <c r="B14" s="246">
        <v>2058</v>
      </c>
      <c r="C14" s="245" t="s">
        <v>411</v>
      </c>
      <c r="D14" s="244">
        <v>113764</v>
      </c>
      <c r="E14" s="244">
        <v>56097</v>
      </c>
      <c r="F14" s="244">
        <v>0</v>
      </c>
      <c r="G14" s="244">
        <f t="shared" si="0"/>
        <v>169861</v>
      </c>
    </row>
    <row r="15" spans="1:11" s="248" customFormat="1" ht="16.5" customHeight="1">
      <c r="A15" s="256">
        <v>600</v>
      </c>
      <c r="B15" s="255" t="s">
        <v>382</v>
      </c>
      <c r="C15" s="254" t="s">
        <v>20</v>
      </c>
      <c r="D15" s="253">
        <v>79536238</v>
      </c>
      <c r="E15" s="253">
        <f>E16+E24</f>
        <v>595069</v>
      </c>
      <c r="F15" s="253">
        <f>F16+F24</f>
        <v>125158</v>
      </c>
      <c r="G15" s="253">
        <f t="shared" si="0"/>
        <v>80006149</v>
      </c>
    </row>
    <row r="16" spans="1:11" s="248" customFormat="1" ht="16.5" customHeight="1">
      <c r="A16" s="252">
        <v>60013</v>
      </c>
      <c r="B16" s="251" t="s">
        <v>382</v>
      </c>
      <c r="C16" s="250" t="s">
        <v>110</v>
      </c>
      <c r="D16" s="249">
        <v>22171694</v>
      </c>
      <c r="E16" s="249">
        <f>SUM(E17:E23)</f>
        <v>595069</v>
      </c>
      <c r="F16" s="249">
        <f>SUM(F17:F23)</f>
        <v>91000</v>
      </c>
      <c r="G16" s="249">
        <f t="shared" si="0"/>
        <v>22675763</v>
      </c>
    </row>
    <row r="17" spans="1:7" s="238" customFormat="1" ht="25.5">
      <c r="A17" s="247" t="s">
        <v>382</v>
      </c>
      <c r="B17" s="246" t="s">
        <v>499</v>
      </c>
      <c r="C17" s="245" t="s">
        <v>498</v>
      </c>
      <c r="D17" s="244">
        <v>2000</v>
      </c>
      <c r="E17" s="244">
        <v>0</v>
      </c>
      <c r="F17" s="244">
        <v>1000</v>
      </c>
      <c r="G17" s="244">
        <f t="shared" si="0"/>
        <v>1000</v>
      </c>
    </row>
    <row r="18" spans="1:7" s="238" customFormat="1">
      <c r="A18" s="247" t="s">
        <v>382</v>
      </c>
      <c r="B18" s="246" t="s">
        <v>497</v>
      </c>
      <c r="C18" s="245" t="s">
        <v>496</v>
      </c>
      <c r="D18" s="244">
        <v>0</v>
      </c>
      <c r="E18" s="244">
        <v>1000</v>
      </c>
      <c r="F18" s="244">
        <v>0</v>
      </c>
      <c r="G18" s="244">
        <f t="shared" si="0"/>
        <v>1000</v>
      </c>
    </row>
    <row r="19" spans="1:7" s="238" customFormat="1" ht="25.5">
      <c r="A19" s="247" t="s">
        <v>382</v>
      </c>
      <c r="B19" s="246" t="s">
        <v>495</v>
      </c>
      <c r="C19" s="245" t="s">
        <v>494</v>
      </c>
      <c r="D19" s="244">
        <v>660000</v>
      </c>
      <c r="E19" s="244">
        <v>0</v>
      </c>
      <c r="F19" s="244">
        <v>90000</v>
      </c>
      <c r="G19" s="244">
        <f t="shared" si="0"/>
        <v>570000</v>
      </c>
    </row>
    <row r="20" spans="1:7" s="238" customFormat="1">
      <c r="A20" s="247" t="s">
        <v>382</v>
      </c>
      <c r="B20" s="246" t="s">
        <v>476</v>
      </c>
      <c r="C20" s="245" t="s">
        <v>475</v>
      </c>
      <c r="D20" s="244">
        <v>267030</v>
      </c>
      <c r="E20" s="244">
        <v>90000</v>
      </c>
      <c r="F20" s="244">
        <v>0</v>
      </c>
      <c r="G20" s="244">
        <f t="shared" si="0"/>
        <v>357030</v>
      </c>
    </row>
    <row r="21" spans="1:7" s="238" customFormat="1" ht="52.5" customHeight="1">
      <c r="A21" s="247" t="s">
        <v>382</v>
      </c>
      <c r="B21" s="246">
        <v>6300</v>
      </c>
      <c r="C21" s="245" t="s">
        <v>477</v>
      </c>
      <c r="D21" s="244">
        <v>1280425</v>
      </c>
      <c r="E21" s="244">
        <v>65190</v>
      </c>
      <c r="F21" s="244">
        <v>0</v>
      </c>
      <c r="G21" s="244">
        <f t="shared" si="0"/>
        <v>1345615</v>
      </c>
    </row>
    <row r="22" spans="1:7" s="238" customFormat="1" ht="53.25" customHeight="1">
      <c r="A22" s="247" t="s">
        <v>382</v>
      </c>
      <c r="B22" s="246">
        <v>6619</v>
      </c>
      <c r="C22" s="245" t="s">
        <v>493</v>
      </c>
      <c r="D22" s="244">
        <v>4648458</v>
      </c>
      <c r="E22" s="244">
        <v>365731</v>
      </c>
      <c r="F22" s="244">
        <v>0</v>
      </c>
      <c r="G22" s="244">
        <f t="shared" si="0"/>
        <v>5014189</v>
      </c>
    </row>
    <row r="23" spans="1:7" s="238" customFormat="1" ht="52.5" customHeight="1">
      <c r="A23" s="247" t="s">
        <v>382</v>
      </c>
      <c r="B23" s="246">
        <v>6629</v>
      </c>
      <c r="C23" s="245" t="s">
        <v>492</v>
      </c>
      <c r="D23" s="244">
        <v>957595</v>
      </c>
      <c r="E23" s="244">
        <v>73148</v>
      </c>
      <c r="F23" s="244">
        <v>0</v>
      </c>
      <c r="G23" s="244">
        <f t="shared" si="0"/>
        <v>1030743</v>
      </c>
    </row>
    <row r="24" spans="1:7" s="248" customFormat="1" ht="15.75" customHeight="1">
      <c r="A24" s="252">
        <v>60095</v>
      </c>
      <c r="B24" s="251" t="s">
        <v>382</v>
      </c>
      <c r="C24" s="250" t="s">
        <v>51</v>
      </c>
      <c r="D24" s="249">
        <v>590745</v>
      </c>
      <c r="E24" s="249">
        <f>E25</f>
        <v>0</v>
      </c>
      <c r="F24" s="249">
        <f>F25</f>
        <v>34158</v>
      </c>
      <c r="G24" s="249">
        <f t="shared" si="0"/>
        <v>556587</v>
      </c>
    </row>
    <row r="25" spans="1:7" s="238" customFormat="1" ht="66.75" customHeight="1">
      <c r="A25" s="247" t="s">
        <v>382</v>
      </c>
      <c r="B25" s="246">
        <v>2058</v>
      </c>
      <c r="C25" s="245" t="s">
        <v>411</v>
      </c>
      <c r="D25" s="244">
        <v>326745</v>
      </c>
      <c r="E25" s="244">
        <v>0</v>
      </c>
      <c r="F25" s="244">
        <v>34158</v>
      </c>
      <c r="G25" s="244">
        <f t="shared" si="0"/>
        <v>292587</v>
      </c>
    </row>
    <row r="26" spans="1:7" s="248" customFormat="1" ht="17.25" customHeight="1">
      <c r="A26" s="256">
        <v>630</v>
      </c>
      <c r="B26" s="255" t="s">
        <v>382</v>
      </c>
      <c r="C26" s="254" t="s">
        <v>68</v>
      </c>
      <c r="D26" s="253">
        <v>926584</v>
      </c>
      <c r="E26" s="253">
        <v>0</v>
      </c>
      <c r="F26" s="253">
        <f>F27</f>
        <v>322131</v>
      </c>
      <c r="G26" s="253">
        <f t="shared" si="0"/>
        <v>604453</v>
      </c>
    </row>
    <row r="27" spans="1:7" s="248" customFormat="1" ht="17.25" customHeight="1">
      <c r="A27" s="252">
        <v>63095</v>
      </c>
      <c r="B27" s="251" t="s">
        <v>382</v>
      </c>
      <c r="C27" s="250" t="s">
        <v>51</v>
      </c>
      <c r="D27" s="249">
        <v>926584</v>
      </c>
      <c r="E27" s="249">
        <v>0</v>
      </c>
      <c r="F27" s="249">
        <f>F28</f>
        <v>322131</v>
      </c>
      <c r="G27" s="249">
        <f t="shared" si="0"/>
        <v>604453</v>
      </c>
    </row>
    <row r="28" spans="1:7" s="238" customFormat="1" ht="66.75" customHeight="1">
      <c r="A28" s="247" t="s">
        <v>382</v>
      </c>
      <c r="B28" s="246">
        <v>2058</v>
      </c>
      <c r="C28" s="245" t="s">
        <v>411</v>
      </c>
      <c r="D28" s="244">
        <v>737134</v>
      </c>
      <c r="E28" s="244">
        <v>0</v>
      </c>
      <c r="F28" s="244">
        <v>322131</v>
      </c>
      <c r="G28" s="244">
        <f t="shared" si="0"/>
        <v>415003</v>
      </c>
    </row>
    <row r="29" spans="1:7" s="248" customFormat="1" ht="16.5" customHeight="1">
      <c r="A29" s="256">
        <v>720</v>
      </c>
      <c r="B29" s="255" t="s">
        <v>382</v>
      </c>
      <c r="C29" s="254" t="s">
        <v>70</v>
      </c>
      <c r="D29" s="253">
        <v>95500</v>
      </c>
      <c r="E29" s="253">
        <f>E30</f>
        <v>3750</v>
      </c>
      <c r="F29" s="253">
        <f>F30</f>
        <v>16012</v>
      </c>
      <c r="G29" s="253">
        <f t="shared" si="0"/>
        <v>83238</v>
      </c>
    </row>
    <row r="30" spans="1:7" s="248" customFormat="1" ht="16.5" customHeight="1">
      <c r="A30" s="252">
        <v>72095</v>
      </c>
      <c r="B30" s="251" t="s">
        <v>382</v>
      </c>
      <c r="C30" s="250" t="s">
        <v>51</v>
      </c>
      <c r="D30" s="249">
        <v>95500</v>
      </c>
      <c r="E30" s="249">
        <f>E31+E32</f>
        <v>3750</v>
      </c>
      <c r="F30" s="249">
        <f>F31+F32</f>
        <v>16012</v>
      </c>
      <c r="G30" s="249">
        <f t="shared" si="0"/>
        <v>83238</v>
      </c>
    </row>
    <row r="31" spans="1:7" s="238" customFormat="1" ht="65.25" customHeight="1">
      <c r="A31" s="247" t="s">
        <v>382</v>
      </c>
      <c r="B31" s="246">
        <v>6289</v>
      </c>
      <c r="C31" s="245" t="s">
        <v>491</v>
      </c>
      <c r="D31" s="244">
        <v>34500</v>
      </c>
      <c r="E31" s="244">
        <v>0</v>
      </c>
      <c r="F31" s="244">
        <v>16012</v>
      </c>
      <c r="G31" s="244">
        <f t="shared" si="0"/>
        <v>18488</v>
      </c>
    </row>
    <row r="32" spans="1:7" s="238" customFormat="1" ht="55.5" customHeight="1">
      <c r="A32" s="243" t="s">
        <v>382</v>
      </c>
      <c r="B32" s="242">
        <v>6299</v>
      </c>
      <c r="C32" s="241" t="s">
        <v>490</v>
      </c>
      <c r="D32" s="240">
        <v>3000</v>
      </c>
      <c r="E32" s="240">
        <v>3750</v>
      </c>
      <c r="F32" s="240">
        <v>0</v>
      </c>
      <c r="G32" s="240">
        <f t="shared" si="0"/>
        <v>6750</v>
      </c>
    </row>
    <row r="33" spans="1:7" s="248" customFormat="1" ht="18" customHeight="1">
      <c r="A33" s="256">
        <v>750</v>
      </c>
      <c r="B33" s="255" t="s">
        <v>382</v>
      </c>
      <c r="C33" s="254" t="s">
        <v>29</v>
      </c>
      <c r="D33" s="253">
        <v>3364844</v>
      </c>
      <c r="E33" s="253">
        <f>E34</f>
        <v>183921</v>
      </c>
      <c r="F33" s="253">
        <v>0</v>
      </c>
      <c r="G33" s="253">
        <f t="shared" si="0"/>
        <v>3548765</v>
      </c>
    </row>
    <row r="34" spans="1:7" s="248" customFormat="1" ht="15.75" customHeight="1">
      <c r="A34" s="252">
        <v>75075</v>
      </c>
      <c r="B34" s="251" t="s">
        <v>382</v>
      </c>
      <c r="C34" s="250" t="s">
        <v>124</v>
      </c>
      <c r="D34" s="249">
        <v>909776</v>
      </c>
      <c r="E34" s="249">
        <f>E35</f>
        <v>183921</v>
      </c>
      <c r="F34" s="249">
        <v>0</v>
      </c>
      <c r="G34" s="249">
        <f t="shared" si="0"/>
        <v>1093697</v>
      </c>
    </row>
    <row r="35" spans="1:7" s="238" customFormat="1" ht="40.5" customHeight="1">
      <c r="A35" s="247" t="s">
        <v>382</v>
      </c>
      <c r="B35" s="246">
        <v>2319</v>
      </c>
      <c r="C35" s="245" t="s">
        <v>489</v>
      </c>
      <c r="D35" s="244">
        <v>909776</v>
      </c>
      <c r="E35" s="244">
        <v>183921</v>
      </c>
      <c r="F35" s="244">
        <v>0</v>
      </c>
      <c r="G35" s="244">
        <f t="shared" si="0"/>
        <v>1093697</v>
      </c>
    </row>
    <row r="36" spans="1:7" s="248" customFormat="1" ht="54" customHeight="1">
      <c r="A36" s="256">
        <v>756</v>
      </c>
      <c r="B36" s="255" t="s">
        <v>382</v>
      </c>
      <c r="C36" s="254" t="s">
        <v>437</v>
      </c>
      <c r="D36" s="253">
        <v>276346827</v>
      </c>
      <c r="E36" s="253">
        <f>E37</f>
        <v>4800000</v>
      </c>
      <c r="F36" s="253">
        <v>0</v>
      </c>
      <c r="G36" s="253">
        <f t="shared" si="0"/>
        <v>281146827</v>
      </c>
    </row>
    <row r="37" spans="1:7" s="248" customFormat="1" ht="28.5" customHeight="1">
      <c r="A37" s="252">
        <v>75623</v>
      </c>
      <c r="B37" s="251" t="s">
        <v>382</v>
      </c>
      <c r="C37" s="250" t="s">
        <v>488</v>
      </c>
      <c r="D37" s="249">
        <v>275426127</v>
      </c>
      <c r="E37" s="249">
        <f>E38</f>
        <v>4800000</v>
      </c>
      <c r="F37" s="249">
        <v>0</v>
      </c>
      <c r="G37" s="249">
        <f t="shared" si="0"/>
        <v>280226127</v>
      </c>
    </row>
    <row r="38" spans="1:7" s="238" customFormat="1" ht="15.75" customHeight="1">
      <c r="A38" s="247" t="s">
        <v>382</v>
      </c>
      <c r="B38" s="246" t="s">
        <v>487</v>
      </c>
      <c r="C38" s="245" t="s">
        <v>486</v>
      </c>
      <c r="D38" s="244">
        <v>195000000</v>
      </c>
      <c r="E38" s="244">
        <v>4800000</v>
      </c>
      <c r="F38" s="244">
        <v>0</v>
      </c>
      <c r="G38" s="244">
        <f t="shared" si="0"/>
        <v>199800000</v>
      </c>
    </row>
    <row r="39" spans="1:7" s="248" customFormat="1" ht="15.75" customHeight="1">
      <c r="A39" s="256">
        <v>758</v>
      </c>
      <c r="B39" s="255" t="s">
        <v>382</v>
      </c>
      <c r="C39" s="254" t="s">
        <v>135</v>
      </c>
      <c r="D39" s="253">
        <v>825059673</v>
      </c>
      <c r="E39" s="253">
        <f>E40+E42+E51</f>
        <v>103895596</v>
      </c>
      <c r="F39" s="253">
        <f>F40+F42+F51</f>
        <v>9294647</v>
      </c>
      <c r="G39" s="253">
        <f t="shared" si="0"/>
        <v>919660622</v>
      </c>
    </row>
    <row r="40" spans="1:7" s="248" customFormat="1" ht="28.5" customHeight="1">
      <c r="A40" s="252">
        <v>75801</v>
      </c>
      <c r="B40" s="251" t="s">
        <v>382</v>
      </c>
      <c r="C40" s="250" t="s">
        <v>485</v>
      </c>
      <c r="D40" s="249">
        <v>63778930</v>
      </c>
      <c r="E40" s="249">
        <f>E41</f>
        <v>476633</v>
      </c>
      <c r="F40" s="249">
        <v>0</v>
      </c>
      <c r="G40" s="249">
        <f t="shared" si="0"/>
        <v>64255563</v>
      </c>
    </row>
    <row r="41" spans="1:7" s="238" customFormat="1" ht="15.75" customHeight="1">
      <c r="A41" s="247" t="s">
        <v>382</v>
      </c>
      <c r="B41" s="246">
        <v>2920</v>
      </c>
      <c r="C41" s="245" t="s">
        <v>484</v>
      </c>
      <c r="D41" s="244">
        <v>63778930</v>
      </c>
      <c r="E41" s="244">
        <v>476633</v>
      </c>
      <c r="F41" s="244">
        <v>0</v>
      </c>
      <c r="G41" s="244">
        <f t="shared" ref="G41:G72" si="1">D41+E41-F41</f>
        <v>64255563</v>
      </c>
    </row>
    <row r="42" spans="1:7" s="248" customFormat="1" ht="42" customHeight="1">
      <c r="A42" s="252">
        <v>75863</v>
      </c>
      <c r="B42" s="251" t="s">
        <v>382</v>
      </c>
      <c r="C42" s="250" t="s">
        <v>483</v>
      </c>
      <c r="D42" s="249">
        <v>366798261</v>
      </c>
      <c r="E42" s="249">
        <f>SUM(E43:E50)</f>
        <v>82525477</v>
      </c>
      <c r="F42" s="249">
        <f>SUM(F43:F50)</f>
        <v>456720</v>
      </c>
      <c r="G42" s="249">
        <f t="shared" si="1"/>
        <v>448867018</v>
      </c>
    </row>
    <row r="43" spans="1:7" s="238" customFormat="1" ht="79.5" customHeight="1">
      <c r="A43" s="247" t="s">
        <v>382</v>
      </c>
      <c r="B43" s="246">
        <v>2007</v>
      </c>
      <c r="C43" s="245" t="s">
        <v>481</v>
      </c>
      <c r="D43" s="244">
        <v>10056448</v>
      </c>
      <c r="E43" s="244">
        <v>2636866</v>
      </c>
      <c r="F43" s="244">
        <v>0</v>
      </c>
      <c r="G43" s="244">
        <f t="shared" si="1"/>
        <v>12693314</v>
      </c>
    </row>
    <row r="44" spans="1:7" s="238" customFormat="1" ht="78.75" customHeight="1">
      <c r="A44" s="247" t="s">
        <v>382</v>
      </c>
      <c r="B44" s="246">
        <v>2009</v>
      </c>
      <c r="C44" s="245" t="s">
        <v>481</v>
      </c>
      <c r="D44" s="244">
        <v>833162</v>
      </c>
      <c r="E44" s="244">
        <v>433203</v>
      </c>
      <c r="F44" s="244">
        <v>0</v>
      </c>
      <c r="G44" s="244">
        <f t="shared" si="1"/>
        <v>1266365</v>
      </c>
    </row>
    <row r="45" spans="1:7" s="238" customFormat="1" ht="66.75" customHeight="1">
      <c r="A45" s="247" t="s">
        <v>382</v>
      </c>
      <c r="B45" s="246">
        <v>2057</v>
      </c>
      <c r="C45" s="245" t="s">
        <v>411</v>
      </c>
      <c r="D45" s="244">
        <v>31518591</v>
      </c>
      <c r="E45" s="244">
        <v>1254061</v>
      </c>
      <c r="F45" s="244">
        <v>0</v>
      </c>
      <c r="G45" s="244">
        <f t="shared" si="1"/>
        <v>32772652</v>
      </c>
    </row>
    <row r="46" spans="1:7" s="238" customFormat="1" ht="66.75" customHeight="1">
      <c r="A46" s="247" t="s">
        <v>382</v>
      </c>
      <c r="B46" s="246">
        <v>2059</v>
      </c>
      <c r="C46" s="245" t="s">
        <v>411</v>
      </c>
      <c r="D46" s="244">
        <v>1657626</v>
      </c>
      <c r="E46" s="244">
        <v>6594</v>
      </c>
      <c r="F46" s="244">
        <v>0</v>
      </c>
      <c r="G46" s="244">
        <f t="shared" si="1"/>
        <v>1664220</v>
      </c>
    </row>
    <row r="47" spans="1:7" s="238" customFormat="1" ht="80.25" customHeight="1">
      <c r="A47" s="247" t="s">
        <v>382</v>
      </c>
      <c r="B47" s="246">
        <v>6207</v>
      </c>
      <c r="C47" s="245" t="s">
        <v>480</v>
      </c>
      <c r="D47" s="244">
        <v>103849065</v>
      </c>
      <c r="E47" s="244">
        <v>49690425</v>
      </c>
      <c r="F47" s="244">
        <v>0</v>
      </c>
      <c r="G47" s="244">
        <f t="shared" si="1"/>
        <v>153539490</v>
      </c>
    </row>
    <row r="48" spans="1:7" s="238" customFormat="1" ht="80.25" customHeight="1">
      <c r="A48" s="247" t="s">
        <v>382</v>
      </c>
      <c r="B48" s="246">
        <v>6209</v>
      </c>
      <c r="C48" s="245" t="s">
        <v>480</v>
      </c>
      <c r="D48" s="244">
        <v>26384395</v>
      </c>
      <c r="E48" s="244">
        <v>17263219</v>
      </c>
      <c r="F48" s="244">
        <v>0</v>
      </c>
      <c r="G48" s="244">
        <f t="shared" si="1"/>
        <v>43647614</v>
      </c>
    </row>
    <row r="49" spans="1:7" s="238" customFormat="1" ht="66.75" customHeight="1">
      <c r="A49" s="247" t="s">
        <v>382</v>
      </c>
      <c r="B49" s="246">
        <v>6257</v>
      </c>
      <c r="C49" s="245" t="s">
        <v>424</v>
      </c>
      <c r="D49" s="244">
        <v>190478396</v>
      </c>
      <c r="E49" s="244">
        <v>11241109</v>
      </c>
      <c r="F49" s="244">
        <v>0</v>
      </c>
      <c r="G49" s="244">
        <f t="shared" si="1"/>
        <v>201719505</v>
      </c>
    </row>
    <row r="50" spans="1:7" s="238" customFormat="1" ht="66.75" customHeight="1">
      <c r="A50" s="247" t="s">
        <v>382</v>
      </c>
      <c r="B50" s="246">
        <v>6259</v>
      </c>
      <c r="C50" s="245" t="s">
        <v>424</v>
      </c>
      <c r="D50" s="244">
        <v>2020578</v>
      </c>
      <c r="E50" s="244">
        <v>0</v>
      </c>
      <c r="F50" s="244">
        <v>456720</v>
      </c>
      <c r="G50" s="244">
        <f t="shared" si="1"/>
        <v>1563858</v>
      </c>
    </row>
    <row r="51" spans="1:7" s="248" customFormat="1" ht="40.5" customHeight="1">
      <c r="A51" s="268">
        <v>75864</v>
      </c>
      <c r="B51" s="267" t="s">
        <v>382</v>
      </c>
      <c r="C51" s="266" t="s">
        <v>482</v>
      </c>
      <c r="D51" s="265">
        <v>157856152</v>
      </c>
      <c r="E51" s="265">
        <f>SUM(E52:E61)</f>
        <v>20893486</v>
      </c>
      <c r="F51" s="265">
        <f>SUM(F52:F61)</f>
        <v>8837927</v>
      </c>
      <c r="G51" s="265">
        <f t="shared" si="1"/>
        <v>169911711</v>
      </c>
    </row>
    <row r="52" spans="1:7" s="238" customFormat="1" ht="80.25" customHeight="1">
      <c r="A52" s="264" t="s">
        <v>382</v>
      </c>
      <c r="B52" s="263">
        <v>2007</v>
      </c>
      <c r="C52" s="262" t="s">
        <v>481</v>
      </c>
      <c r="D52" s="261">
        <v>35769445</v>
      </c>
      <c r="E52" s="261">
        <v>8746122</v>
      </c>
      <c r="F52" s="261">
        <v>0</v>
      </c>
      <c r="G52" s="261">
        <f t="shared" si="1"/>
        <v>44515567</v>
      </c>
    </row>
    <row r="53" spans="1:7" s="238" customFormat="1" ht="80.25" customHeight="1">
      <c r="A53" s="247" t="s">
        <v>382</v>
      </c>
      <c r="B53" s="246">
        <v>2009</v>
      </c>
      <c r="C53" s="245" t="s">
        <v>481</v>
      </c>
      <c r="D53" s="244">
        <v>16660467</v>
      </c>
      <c r="E53" s="244">
        <v>887638</v>
      </c>
      <c r="F53" s="244">
        <v>0</v>
      </c>
      <c r="G53" s="244">
        <f t="shared" si="1"/>
        <v>17548105</v>
      </c>
    </row>
    <row r="54" spans="1:7" s="238" customFormat="1" ht="66.75" customHeight="1">
      <c r="A54" s="247" t="s">
        <v>382</v>
      </c>
      <c r="B54" s="246">
        <v>2057</v>
      </c>
      <c r="C54" s="245" t="s">
        <v>411</v>
      </c>
      <c r="D54" s="244">
        <v>35460602</v>
      </c>
      <c r="E54" s="244">
        <v>8886992</v>
      </c>
      <c r="F54" s="244">
        <v>0</v>
      </c>
      <c r="G54" s="244">
        <f t="shared" si="1"/>
        <v>44347594</v>
      </c>
    </row>
    <row r="55" spans="1:7" s="238" customFormat="1" ht="66.75" customHeight="1">
      <c r="A55" s="247" t="s">
        <v>382</v>
      </c>
      <c r="B55" s="246">
        <v>2058</v>
      </c>
      <c r="C55" s="245" t="s">
        <v>411</v>
      </c>
      <c r="D55" s="244">
        <v>53948000</v>
      </c>
      <c r="E55" s="244">
        <v>0</v>
      </c>
      <c r="F55" s="244">
        <v>123663</v>
      </c>
      <c r="G55" s="244">
        <f t="shared" si="1"/>
        <v>53824337</v>
      </c>
    </row>
    <row r="56" spans="1:7" s="238" customFormat="1" ht="66.75" customHeight="1">
      <c r="A56" s="247" t="s">
        <v>382</v>
      </c>
      <c r="B56" s="246">
        <v>2059</v>
      </c>
      <c r="C56" s="245" t="s">
        <v>411</v>
      </c>
      <c r="D56" s="244">
        <v>4106533</v>
      </c>
      <c r="E56" s="244">
        <v>825234</v>
      </c>
      <c r="F56" s="244">
        <v>0</v>
      </c>
      <c r="G56" s="244">
        <f t="shared" si="1"/>
        <v>4931767</v>
      </c>
    </row>
    <row r="57" spans="1:7" s="238" customFormat="1" ht="78" customHeight="1">
      <c r="A57" s="247" t="s">
        <v>382</v>
      </c>
      <c r="B57" s="246">
        <v>6207</v>
      </c>
      <c r="C57" s="245" t="s">
        <v>480</v>
      </c>
      <c r="D57" s="244">
        <v>0</v>
      </c>
      <c r="E57" s="244">
        <v>1384607</v>
      </c>
      <c r="F57" s="244">
        <v>0</v>
      </c>
      <c r="G57" s="244">
        <f t="shared" si="1"/>
        <v>1384607</v>
      </c>
    </row>
    <row r="58" spans="1:7" s="238" customFormat="1" ht="81" customHeight="1">
      <c r="A58" s="247" t="s">
        <v>382</v>
      </c>
      <c r="B58" s="246">
        <v>6209</v>
      </c>
      <c r="C58" s="245" t="s">
        <v>480</v>
      </c>
      <c r="D58" s="244">
        <v>292105</v>
      </c>
      <c r="E58" s="244">
        <v>162893</v>
      </c>
      <c r="F58" s="244">
        <v>0</v>
      </c>
      <c r="G58" s="244">
        <f t="shared" si="1"/>
        <v>454998</v>
      </c>
    </row>
    <row r="59" spans="1:7" s="238" customFormat="1" ht="66.75" customHeight="1">
      <c r="A59" s="247" t="s">
        <v>382</v>
      </c>
      <c r="B59" s="246">
        <v>6257</v>
      </c>
      <c r="C59" s="245" t="s">
        <v>424</v>
      </c>
      <c r="D59" s="244">
        <v>492105</v>
      </c>
      <c r="E59" s="244">
        <v>0</v>
      </c>
      <c r="F59" s="244">
        <v>492105</v>
      </c>
      <c r="G59" s="244">
        <f t="shared" si="1"/>
        <v>0</v>
      </c>
    </row>
    <row r="60" spans="1:7" s="238" customFormat="1" ht="66.75" customHeight="1">
      <c r="A60" s="247" t="s">
        <v>382</v>
      </c>
      <c r="B60" s="246">
        <v>6258</v>
      </c>
      <c r="C60" s="245" t="s">
        <v>424</v>
      </c>
      <c r="D60" s="244">
        <v>11069000</v>
      </c>
      <c r="E60" s="244">
        <v>0</v>
      </c>
      <c r="F60" s="244">
        <v>8164264</v>
      </c>
      <c r="G60" s="244">
        <f t="shared" si="1"/>
        <v>2904736</v>
      </c>
    </row>
    <row r="61" spans="1:7" s="238" customFormat="1" ht="66.75" customHeight="1">
      <c r="A61" s="243" t="s">
        <v>382</v>
      </c>
      <c r="B61" s="242">
        <v>6259</v>
      </c>
      <c r="C61" s="241" t="s">
        <v>424</v>
      </c>
      <c r="D61" s="240">
        <v>57895</v>
      </c>
      <c r="E61" s="240">
        <v>0</v>
      </c>
      <c r="F61" s="240">
        <v>57895</v>
      </c>
      <c r="G61" s="240">
        <f t="shared" si="1"/>
        <v>0</v>
      </c>
    </row>
    <row r="62" spans="1:7" s="248" customFormat="1" ht="30.75" customHeight="1">
      <c r="A62" s="256">
        <v>853</v>
      </c>
      <c r="B62" s="255" t="s">
        <v>382</v>
      </c>
      <c r="C62" s="254" t="s">
        <v>433</v>
      </c>
      <c r="D62" s="253">
        <v>8982328</v>
      </c>
      <c r="E62" s="253">
        <f>E63</f>
        <v>10807</v>
      </c>
      <c r="F62" s="253">
        <v>0</v>
      </c>
      <c r="G62" s="253">
        <f t="shared" si="1"/>
        <v>8993135</v>
      </c>
    </row>
    <row r="63" spans="1:7" s="248" customFormat="1" ht="27" customHeight="1">
      <c r="A63" s="252">
        <v>85324</v>
      </c>
      <c r="B63" s="251" t="s">
        <v>382</v>
      </c>
      <c r="C63" s="250" t="s">
        <v>166</v>
      </c>
      <c r="D63" s="249">
        <v>375000</v>
      </c>
      <c r="E63" s="249">
        <f>E64</f>
        <v>10807</v>
      </c>
      <c r="F63" s="249">
        <v>0</v>
      </c>
      <c r="G63" s="249">
        <f t="shared" si="1"/>
        <v>385807</v>
      </c>
    </row>
    <row r="64" spans="1:7" s="238" customFormat="1" ht="18" customHeight="1">
      <c r="A64" s="247" t="s">
        <v>382</v>
      </c>
      <c r="B64" s="246" t="s">
        <v>476</v>
      </c>
      <c r="C64" s="245" t="s">
        <v>475</v>
      </c>
      <c r="D64" s="244">
        <v>375000</v>
      </c>
      <c r="E64" s="244">
        <v>10807</v>
      </c>
      <c r="F64" s="244">
        <v>0</v>
      </c>
      <c r="G64" s="244">
        <f t="shared" si="1"/>
        <v>385807</v>
      </c>
    </row>
    <row r="65" spans="1:7" s="248" customFormat="1" ht="29.25" customHeight="1">
      <c r="A65" s="256">
        <v>921</v>
      </c>
      <c r="B65" s="255" t="s">
        <v>382</v>
      </c>
      <c r="C65" s="254" t="s">
        <v>39</v>
      </c>
      <c r="D65" s="253">
        <v>13201301</v>
      </c>
      <c r="E65" s="253">
        <f>E66+E68+E70</f>
        <v>1708131</v>
      </c>
      <c r="F65" s="253">
        <f>F66+F68+F70</f>
        <v>0</v>
      </c>
      <c r="G65" s="253">
        <f t="shared" si="1"/>
        <v>14909432</v>
      </c>
    </row>
    <row r="66" spans="1:7" s="248" customFormat="1">
      <c r="A66" s="252">
        <v>92105</v>
      </c>
      <c r="B66" s="251" t="s">
        <v>382</v>
      </c>
      <c r="C66" s="250" t="s">
        <v>190</v>
      </c>
      <c r="D66" s="249">
        <v>470000</v>
      </c>
      <c r="E66" s="249">
        <f>E67</f>
        <v>20000</v>
      </c>
      <c r="F66" s="249">
        <f>F67</f>
        <v>0</v>
      </c>
      <c r="G66" s="249">
        <f t="shared" si="1"/>
        <v>490000</v>
      </c>
    </row>
    <row r="67" spans="1:7" s="238" customFormat="1" ht="58.5" customHeight="1">
      <c r="A67" s="243" t="s">
        <v>382</v>
      </c>
      <c r="B67" s="242">
        <v>6300</v>
      </c>
      <c r="C67" s="241" t="s">
        <v>477</v>
      </c>
      <c r="D67" s="240">
        <v>0</v>
      </c>
      <c r="E67" s="240">
        <v>20000</v>
      </c>
      <c r="F67" s="240">
        <v>0</v>
      </c>
      <c r="G67" s="240">
        <f t="shared" si="1"/>
        <v>20000</v>
      </c>
    </row>
    <row r="68" spans="1:7" s="248" customFormat="1" ht="17.25" customHeight="1">
      <c r="A68" s="260">
        <v>92106</v>
      </c>
      <c r="B68" s="259" t="s">
        <v>382</v>
      </c>
      <c r="C68" s="258" t="s">
        <v>419</v>
      </c>
      <c r="D68" s="257">
        <v>0</v>
      </c>
      <c r="E68" s="257">
        <f>E69</f>
        <v>1506531</v>
      </c>
      <c r="F68" s="257">
        <v>0</v>
      </c>
      <c r="G68" s="257">
        <f t="shared" si="1"/>
        <v>1506531</v>
      </c>
    </row>
    <row r="69" spans="1:7" s="238" customFormat="1" ht="28.5" customHeight="1">
      <c r="A69" s="247" t="s">
        <v>382</v>
      </c>
      <c r="B69" s="246">
        <v>6690</v>
      </c>
      <c r="C69" s="245" t="s">
        <v>479</v>
      </c>
      <c r="D69" s="244">
        <v>0</v>
      </c>
      <c r="E69" s="244">
        <v>1506531</v>
      </c>
      <c r="F69" s="244">
        <v>0</v>
      </c>
      <c r="G69" s="244">
        <f t="shared" si="1"/>
        <v>1506531</v>
      </c>
    </row>
    <row r="70" spans="1:7" s="248" customFormat="1" ht="17.25" customHeight="1">
      <c r="A70" s="252">
        <v>92116</v>
      </c>
      <c r="B70" s="251" t="s">
        <v>382</v>
      </c>
      <c r="C70" s="250" t="s">
        <v>182</v>
      </c>
      <c r="D70" s="249">
        <v>3700000</v>
      </c>
      <c r="E70" s="249">
        <f>E71+E72</f>
        <v>181600</v>
      </c>
      <c r="F70" s="249">
        <f>F71+F72</f>
        <v>0</v>
      </c>
      <c r="G70" s="249">
        <f t="shared" si="1"/>
        <v>3881600</v>
      </c>
    </row>
    <row r="71" spans="1:7" s="238" customFormat="1" ht="52.5" customHeight="1">
      <c r="A71" s="247" t="s">
        <v>382</v>
      </c>
      <c r="B71" s="246">
        <v>2710</v>
      </c>
      <c r="C71" s="245" t="s">
        <v>478</v>
      </c>
      <c r="D71" s="244">
        <v>0</v>
      </c>
      <c r="E71" s="244">
        <v>47600</v>
      </c>
      <c r="F71" s="244">
        <v>0</v>
      </c>
      <c r="G71" s="244">
        <f t="shared" si="1"/>
        <v>47600</v>
      </c>
    </row>
    <row r="72" spans="1:7" s="238" customFormat="1" ht="55.5" customHeight="1">
      <c r="A72" s="247" t="s">
        <v>382</v>
      </c>
      <c r="B72" s="246">
        <v>6300</v>
      </c>
      <c r="C72" s="245" t="s">
        <v>477</v>
      </c>
      <c r="D72" s="244">
        <v>0</v>
      </c>
      <c r="E72" s="244">
        <v>134000</v>
      </c>
      <c r="F72" s="244">
        <v>0</v>
      </c>
      <c r="G72" s="244">
        <f t="shared" si="1"/>
        <v>134000</v>
      </c>
    </row>
    <row r="73" spans="1:7" s="248" customFormat="1" ht="40.5" customHeight="1">
      <c r="A73" s="256">
        <v>925</v>
      </c>
      <c r="B73" s="255" t="s">
        <v>382</v>
      </c>
      <c r="C73" s="254" t="s">
        <v>40</v>
      </c>
      <c r="D73" s="253">
        <v>2286000</v>
      </c>
      <c r="E73" s="253">
        <f>E74</f>
        <v>22901</v>
      </c>
      <c r="F73" s="253">
        <f>F74</f>
        <v>0</v>
      </c>
      <c r="G73" s="253">
        <f t="shared" ref="G73:G76" si="2">D73+E73-F73</f>
        <v>2308901</v>
      </c>
    </row>
    <row r="74" spans="1:7" s="248" customFormat="1">
      <c r="A74" s="252">
        <v>92502</v>
      </c>
      <c r="B74" s="251" t="s">
        <v>382</v>
      </c>
      <c r="C74" s="250" t="s">
        <v>185</v>
      </c>
      <c r="D74" s="249">
        <v>2286000</v>
      </c>
      <c r="E74" s="249">
        <f>E75+E76</f>
        <v>22901</v>
      </c>
      <c r="F74" s="249">
        <f>F75+F76</f>
        <v>0</v>
      </c>
      <c r="G74" s="249">
        <f t="shared" si="2"/>
        <v>2308901</v>
      </c>
    </row>
    <row r="75" spans="1:7" s="238" customFormat="1">
      <c r="A75" s="247" t="s">
        <v>382</v>
      </c>
      <c r="B75" s="246" t="s">
        <v>476</v>
      </c>
      <c r="C75" s="245" t="s">
        <v>475</v>
      </c>
      <c r="D75" s="244">
        <v>106000</v>
      </c>
      <c r="E75" s="244">
        <v>12901</v>
      </c>
      <c r="F75" s="244">
        <v>0</v>
      </c>
      <c r="G75" s="244">
        <f t="shared" si="2"/>
        <v>118901</v>
      </c>
    </row>
    <row r="76" spans="1:7" s="238" customFormat="1" ht="56.25" customHeight="1">
      <c r="A76" s="243" t="s">
        <v>382</v>
      </c>
      <c r="B76" s="242">
        <v>2700</v>
      </c>
      <c r="C76" s="241" t="s">
        <v>474</v>
      </c>
      <c r="D76" s="240">
        <v>0</v>
      </c>
      <c r="E76" s="240">
        <v>10000</v>
      </c>
      <c r="F76" s="240">
        <v>0</v>
      </c>
      <c r="G76" s="240">
        <f t="shared" si="2"/>
        <v>10000</v>
      </c>
    </row>
    <row r="77" spans="1:7" s="238" customFormat="1">
      <c r="A77" s="239"/>
      <c r="B77" s="236"/>
    </row>
  </sheetData>
  <sheetProtection password="C25B" sheet="1" objects="1" scenarios="1"/>
  <mergeCells count="1">
    <mergeCell ref="A5:G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27"/>
  <sheetViews>
    <sheetView view="pageBreakPreview" topLeftCell="A344" zoomScaleNormal="100" zoomScaleSheetLayoutView="100" workbookViewId="0">
      <selection activeCell="B396" sqref="B396:B398"/>
    </sheetView>
  </sheetViews>
  <sheetFormatPr defaultColWidth="9" defaultRowHeight="12.75"/>
  <cols>
    <col min="1" max="1" width="7" style="1" customWidth="1"/>
    <col min="2" max="2" width="31.5" style="2" customWidth="1"/>
    <col min="3" max="3" width="3" style="1" customWidth="1"/>
    <col min="4" max="4" width="14.875" style="3" customWidth="1"/>
    <col min="5" max="5" width="13.375" style="2" customWidth="1"/>
    <col min="6" max="6" width="13.625" style="2" customWidth="1"/>
    <col min="7" max="7" width="13.25" style="2" customWidth="1"/>
    <col min="8" max="8" width="13.375" style="2" customWidth="1"/>
    <col min="9" max="9" width="13.25" style="2" customWidth="1"/>
    <col min="10" max="10" width="11.25" style="2" customWidth="1"/>
    <col min="11" max="11" width="13.375" style="2" customWidth="1"/>
    <col min="12" max="12" width="12.5" style="2" customWidth="1"/>
    <col min="13" max="13" width="13.375" style="2" customWidth="1"/>
    <col min="14" max="14" width="13.5" style="2" customWidth="1"/>
    <col min="15" max="15" width="13.75" style="2" customWidth="1"/>
    <col min="16" max="16" width="12.25" style="2" customWidth="1"/>
    <col min="17" max="16384" width="9" style="2"/>
  </cols>
  <sheetData>
    <row r="1" spans="1:21">
      <c r="M1" s="6" t="s">
        <v>841</v>
      </c>
      <c r="N1" s="6"/>
    </row>
    <row r="2" spans="1:21">
      <c r="M2" s="4" t="s">
        <v>842</v>
      </c>
      <c r="N2" s="4"/>
    </row>
    <row r="3" spans="1:21">
      <c r="D3" s="5"/>
      <c r="E3" s="7"/>
      <c r="F3" s="7"/>
      <c r="G3" s="7"/>
      <c r="H3" s="7"/>
      <c r="I3" s="7"/>
      <c r="J3" s="7"/>
      <c r="K3" s="7"/>
      <c r="L3" s="7"/>
      <c r="M3" s="4" t="s">
        <v>843</v>
      </c>
      <c r="N3" s="4"/>
      <c r="O3" s="7"/>
    </row>
    <row r="4" spans="1:21" ht="2.25" customHeight="1"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1" s="8" customFormat="1" ht="31.15" customHeight="1">
      <c r="A5" s="906" t="s">
        <v>217</v>
      </c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</row>
    <row r="6" spans="1:21" s="8" customFormat="1" ht="3" customHeight="1">
      <c r="A6" s="791"/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</row>
    <row r="7" spans="1:21">
      <c r="O7" s="1" t="s">
        <v>0</v>
      </c>
    </row>
    <row r="8" spans="1:21" s="24" customFormat="1" ht="16.5" customHeight="1">
      <c r="A8" s="916" t="s">
        <v>77</v>
      </c>
      <c r="B8" s="916" t="s">
        <v>78</v>
      </c>
      <c r="C8" s="917" t="s">
        <v>11</v>
      </c>
      <c r="D8" s="901" t="s">
        <v>79</v>
      </c>
      <c r="E8" s="902" t="s">
        <v>80</v>
      </c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904"/>
    </row>
    <row r="9" spans="1:21" s="24" customFormat="1" ht="14.25" customHeight="1">
      <c r="A9" s="916"/>
      <c r="B9" s="916"/>
      <c r="C9" s="918"/>
      <c r="D9" s="901"/>
      <c r="E9" s="891" t="s">
        <v>47</v>
      </c>
      <c r="F9" s="905" t="s">
        <v>45</v>
      </c>
      <c r="G9" s="905"/>
      <c r="H9" s="905"/>
      <c r="I9" s="905"/>
      <c r="J9" s="905"/>
      <c r="K9" s="905"/>
      <c r="L9" s="905"/>
      <c r="M9" s="891" t="s">
        <v>81</v>
      </c>
      <c r="N9" s="905" t="s">
        <v>45</v>
      </c>
      <c r="O9" s="905"/>
      <c r="P9" s="905"/>
    </row>
    <row r="10" spans="1:21" s="24" customFormat="1" ht="14.25" customHeight="1">
      <c r="A10" s="916"/>
      <c r="B10" s="916"/>
      <c r="C10" s="918"/>
      <c r="D10" s="901"/>
      <c r="E10" s="891"/>
      <c r="F10" s="891" t="s">
        <v>82</v>
      </c>
      <c r="G10" s="905" t="s">
        <v>45</v>
      </c>
      <c r="H10" s="905"/>
      <c r="I10" s="891" t="s">
        <v>83</v>
      </c>
      <c r="J10" s="891" t="s">
        <v>84</v>
      </c>
      <c r="K10" s="891" t="s">
        <v>85</v>
      </c>
      <c r="L10" s="891" t="s">
        <v>86</v>
      </c>
      <c r="M10" s="891"/>
      <c r="N10" s="891" t="s">
        <v>195</v>
      </c>
      <c r="O10" s="790" t="s">
        <v>45</v>
      </c>
      <c r="P10" s="891" t="s">
        <v>87</v>
      </c>
    </row>
    <row r="11" spans="1:21" s="24" customFormat="1" ht="69" customHeight="1">
      <c r="A11" s="916"/>
      <c r="B11" s="916"/>
      <c r="C11" s="919"/>
      <c r="D11" s="901"/>
      <c r="E11" s="891"/>
      <c r="F11" s="891"/>
      <c r="G11" s="790" t="s">
        <v>46</v>
      </c>
      <c r="H11" s="790" t="s">
        <v>88</v>
      </c>
      <c r="I11" s="891"/>
      <c r="J11" s="891"/>
      <c r="K11" s="891"/>
      <c r="L11" s="891"/>
      <c r="M11" s="891"/>
      <c r="N11" s="891"/>
      <c r="O11" s="790" t="s">
        <v>85</v>
      </c>
      <c r="P11" s="891"/>
    </row>
    <row r="12" spans="1:21" s="25" customFormat="1">
      <c r="A12" s="62">
        <v>1</v>
      </c>
      <c r="B12" s="62">
        <v>2</v>
      </c>
      <c r="C12" s="62"/>
      <c r="D12" s="76">
        <v>3</v>
      </c>
      <c r="E12" s="77">
        <v>4</v>
      </c>
      <c r="F12" s="77">
        <v>5</v>
      </c>
      <c r="G12" s="77">
        <v>6</v>
      </c>
      <c r="H12" s="77">
        <v>7</v>
      </c>
      <c r="I12" s="77">
        <v>8</v>
      </c>
      <c r="J12" s="77">
        <v>9</v>
      </c>
      <c r="K12" s="77">
        <v>10</v>
      </c>
      <c r="L12" s="77">
        <v>11</v>
      </c>
      <c r="M12" s="77">
        <v>12</v>
      </c>
      <c r="N12" s="77">
        <v>13</v>
      </c>
      <c r="O12" s="77">
        <v>14</v>
      </c>
      <c r="P12" s="77">
        <v>15</v>
      </c>
    </row>
    <row r="13" spans="1:21" s="26" customFormat="1" ht="5.0999999999999996" customHeight="1">
      <c r="A13" s="63"/>
      <c r="B13" s="64"/>
      <c r="C13" s="63"/>
      <c r="D13" s="45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21" s="39" customFormat="1" ht="15.75">
      <c r="A14" s="907"/>
      <c r="B14" s="910" t="s">
        <v>12</v>
      </c>
      <c r="C14" s="78" t="s">
        <v>13</v>
      </c>
      <c r="D14" s="40">
        <f t="shared" ref="D14:P14" si="0">D18+D36+D45+D57+D63+D90+D99+D105+D123+D138+D159+D165+D174+D183+D189+D237+D270+D288+D306+D333+D342+D375+D408+D414+D129</f>
        <v>1337171459</v>
      </c>
      <c r="E14" s="40">
        <f t="shared" si="0"/>
        <v>798309013</v>
      </c>
      <c r="F14" s="40">
        <f t="shared" si="0"/>
        <v>279970406</v>
      </c>
      <c r="G14" s="40">
        <f t="shared" si="0"/>
        <v>162286630</v>
      </c>
      <c r="H14" s="40">
        <f t="shared" si="0"/>
        <v>117683776</v>
      </c>
      <c r="I14" s="40">
        <f t="shared" si="0"/>
        <v>238116940</v>
      </c>
      <c r="J14" s="40">
        <f t="shared" si="0"/>
        <v>3398490</v>
      </c>
      <c r="K14" s="40">
        <f t="shared" si="0"/>
        <v>234205482</v>
      </c>
      <c r="L14" s="40">
        <f t="shared" si="0"/>
        <v>42617695</v>
      </c>
      <c r="M14" s="40">
        <f t="shared" si="0"/>
        <v>538862446</v>
      </c>
      <c r="N14" s="40">
        <f t="shared" si="0"/>
        <v>517513395</v>
      </c>
      <c r="O14" s="40">
        <f t="shared" si="0"/>
        <v>384923728</v>
      </c>
      <c r="P14" s="40">
        <f t="shared" si="0"/>
        <v>21349051</v>
      </c>
      <c r="Q14" s="38"/>
      <c r="R14" s="38"/>
      <c r="S14" s="38"/>
      <c r="T14" s="38"/>
      <c r="U14" s="38"/>
    </row>
    <row r="15" spans="1:21" s="39" customFormat="1" ht="15.75">
      <c r="A15" s="908"/>
      <c r="B15" s="911"/>
      <c r="C15" s="78" t="s">
        <v>14</v>
      </c>
      <c r="D15" s="40">
        <f t="shared" ref="D15:P15" si="1">D19+D37+D46+D58+D64+D91+D100+D106+D124+D139+D160+D166+D175+D184+D190+D238+D271+D289+D307+D334+D343+D376+D409+D415+D130</f>
        <v>162833079</v>
      </c>
      <c r="E15" s="40">
        <f t="shared" si="1"/>
        <v>45392395</v>
      </c>
      <c r="F15" s="40">
        <f t="shared" si="1"/>
        <v>7379660</v>
      </c>
      <c r="G15" s="40">
        <f t="shared" si="1"/>
        <v>57216</v>
      </c>
      <c r="H15" s="40">
        <f t="shared" si="1"/>
        <v>7322444</v>
      </c>
      <c r="I15" s="40">
        <f t="shared" si="1"/>
        <v>13799940</v>
      </c>
      <c r="J15" s="40">
        <f t="shared" si="1"/>
        <v>0</v>
      </c>
      <c r="K15" s="40">
        <f t="shared" si="1"/>
        <v>24212795</v>
      </c>
      <c r="L15" s="40">
        <f t="shared" si="1"/>
        <v>0</v>
      </c>
      <c r="M15" s="40">
        <f t="shared" si="1"/>
        <v>117440684</v>
      </c>
      <c r="N15" s="40">
        <f t="shared" si="1"/>
        <v>115629984</v>
      </c>
      <c r="O15" s="40">
        <f t="shared" si="1"/>
        <v>71266001</v>
      </c>
      <c r="P15" s="40">
        <f t="shared" si="1"/>
        <v>1810700</v>
      </c>
      <c r="Q15" s="38"/>
      <c r="R15" s="38"/>
      <c r="S15" s="38"/>
      <c r="T15" s="38"/>
      <c r="U15" s="38"/>
    </row>
    <row r="16" spans="1:21" s="39" customFormat="1" ht="15.75">
      <c r="A16" s="909"/>
      <c r="B16" s="912"/>
      <c r="C16" s="117" t="s">
        <v>15</v>
      </c>
      <c r="D16" s="40">
        <f>D14+D15</f>
        <v>1500004538</v>
      </c>
      <c r="E16" s="40">
        <f t="shared" ref="E16:P16" si="2">E14+E15</f>
        <v>843701408</v>
      </c>
      <c r="F16" s="40">
        <f t="shared" si="2"/>
        <v>287350066</v>
      </c>
      <c r="G16" s="40">
        <f t="shared" si="2"/>
        <v>162343846</v>
      </c>
      <c r="H16" s="40">
        <f t="shared" si="2"/>
        <v>125006220</v>
      </c>
      <c r="I16" s="40">
        <f t="shared" si="2"/>
        <v>251916880</v>
      </c>
      <c r="J16" s="40">
        <f t="shared" si="2"/>
        <v>3398490</v>
      </c>
      <c r="K16" s="40">
        <f t="shared" si="2"/>
        <v>258418277</v>
      </c>
      <c r="L16" s="40">
        <f t="shared" si="2"/>
        <v>42617695</v>
      </c>
      <c r="M16" s="40">
        <f t="shared" si="2"/>
        <v>656303130</v>
      </c>
      <c r="N16" s="40">
        <f t="shared" si="2"/>
        <v>633143379</v>
      </c>
      <c r="O16" s="40">
        <f t="shared" si="2"/>
        <v>456189729</v>
      </c>
      <c r="P16" s="40">
        <f t="shared" si="2"/>
        <v>23159751</v>
      </c>
      <c r="Q16" s="38"/>
      <c r="R16" s="38"/>
      <c r="S16" s="38"/>
      <c r="T16" s="38"/>
      <c r="U16" s="38"/>
    </row>
    <row r="17" spans="1:21" s="26" customFormat="1" ht="5.0999999999999996" customHeight="1">
      <c r="A17" s="65"/>
      <c r="B17" s="66"/>
      <c r="C17" s="79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32"/>
      <c r="R17" s="32"/>
      <c r="S17" s="32"/>
      <c r="T17" s="32"/>
      <c r="U17" s="32"/>
    </row>
    <row r="18" spans="1:21" s="42" customFormat="1" ht="14.25" hidden="1">
      <c r="A18" s="895" t="s">
        <v>16</v>
      </c>
      <c r="B18" s="880" t="s">
        <v>17</v>
      </c>
      <c r="C18" s="80" t="s">
        <v>13</v>
      </c>
      <c r="D18" s="43">
        <f>D24+D27+D30+D33+D21</f>
        <v>16000346</v>
      </c>
      <c r="E18" s="44">
        <f t="shared" ref="E18:P19" si="3">E24+E27+E30+E33+E21</f>
        <v>8514007</v>
      </c>
      <c r="F18" s="44">
        <f t="shared" si="3"/>
        <v>996007</v>
      </c>
      <c r="G18" s="44">
        <f t="shared" si="3"/>
        <v>571161</v>
      </c>
      <c r="H18" s="44">
        <f t="shared" si="3"/>
        <v>424846</v>
      </c>
      <c r="I18" s="44">
        <f t="shared" si="3"/>
        <v>1368000</v>
      </c>
      <c r="J18" s="44">
        <f t="shared" si="3"/>
        <v>0</v>
      </c>
      <c r="K18" s="44">
        <f t="shared" si="3"/>
        <v>6150000</v>
      </c>
      <c r="L18" s="44">
        <f t="shared" si="3"/>
        <v>0</v>
      </c>
      <c r="M18" s="44">
        <f t="shared" si="3"/>
        <v>7486339</v>
      </c>
      <c r="N18" s="44">
        <f t="shared" si="3"/>
        <v>7486339</v>
      </c>
      <c r="O18" s="44">
        <f t="shared" si="3"/>
        <v>0</v>
      </c>
      <c r="P18" s="44">
        <f t="shared" si="3"/>
        <v>0</v>
      </c>
      <c r="Q18" s="67"/>
      <c r="R18" s="67"/>
      <c r="S18" s="41"/>
      <c r="T18" s="41"/>
      <c r="U18" s="41"/>
    </row>
    <row r="19" spans="1:21" s="42" customFormat="1" ht="14.25" hidden="1">
      <c r="A19" s="896"/>
      <c r="B19" s="881"/>
      <c r="C19" s="80" t="s">
        <v>14</v>
      </c>
      <c r="D19" s="43">
        <f>D25+D28+D31+D34+D22</f>
        <v>0</v>
      </c>
      <c r="E19" s="44">
        <f t="shared" si="3"/>
        <v>0</v>
      </c>
      <c r="F19" s="44">
        <f t="shared" si="3"/>
        <v>0</v>
      </c>
      <c r="G19" s="44">
        <f t="shared" si="3"/>
        <v>0</v>
      </c>
      <c r="H19" s="44">
        <f t="shared" si="3"/>
        <v>0</v>
      </c>
      <c r="I19" s="44">
        <f t="shared" si="3"/>
        <v>0</v>
      </c>
      <c r="J19" s="44">
        <f t="shared" si="3"/>
        <v>0</v>
      </c>
      <c r="K19" s="44">
        <f t="shared" si="3"/>
        <v>0</v>
      </c>
      <c r="L19" s="44">
        <f t="shared" si="3"/>
        <v>0</v>
      </c>
      <c r="M19" s="44">
        <f t="shared" si="3"/>
        <v>0</v>
      </c>
      <c r="N19" s="44">
        <f t="shared" si="3"/>
        <v>0</v>
      </c>
      <c r="O19" s="44">
        <f t="shared" si="3"/>
        <v>0</v>
      </c>
      <c r="P19" s="44">
        <f t="shared" si="3"/>
        <v>0</v>
      </c>
      <c r="Q19" s="67"/>
      <c r="R19" s="67"/>
      <c r="S19" s="41"/>
      <c r="T19" s="41"/>
      <c r="U19" s="41"/>
    </row>
    <row r="20" spans="1:21" s="42" customFormat="1" ht="14.25" hidden="1">
      <c r="A20" s="897"/>
      <c r="B20" s="882"/>
      <c r="C20" s="80" t="s">
        <v>15</v>
      </c>
      <c r="D20" s="43">
        <f>D18+D19</f>
        <v>16000346</v>
      </c>
      <c r="E20" s="44">
        <f t="shared" ref="E20:P20" si="4">E18+E19</f>
        <v>8514007</v>
      </c>
      <c r="F20" s="44">
        <f t="shared" si="4"/>
        <v>996007</v>
      </c>
      <c r="G20" s="44">
        <f t="shared" si="4"/>
        <v>571161</v>
      </c>
      <c r="H20" s="44">
        <f t="shared" si="4"/>
        <v>424846</v>
      </c>
      <c r="I20" s="44">
        <f t="shared" si="4"/>
        <v>1368000</v>
      </c>
      <c r="J20" s="44">
        <f t="shared" si="4"/>
        <v>0</v>
      </c>
      <c r="K20" s="44">
        <f t="shared" si="4"/>
        <v>6150000</v>
      </c>
      <c r="L20" s="44">
        <f t="shared" si="4"/>
        <v>0</v>
      </c>
      <c r="M20" s="44">
        <f t="shared" si="4"/>
        <v>7486339</v>
      </c>
      <c r="N20" s="44">
        <f t="shared" si="4"/>
        <v>7486339</v>
      </c>
      <c r="O20" s="44">
        <f t="shared" si="4"/>
        <v>0</v>
      </c>
      <c r="P20" s="44">
        <f t="shared" si="4"/>
        <v>0</v>
      </c>
      <c r="Q20" s="67"/>
      <c r="R20" s="67"/>
      <c r="S20" s="41"/>
      <c r="T20" s="41"/>
      <c r="U20" s="41"/>
    </row>
    <row r="21" spans="1:21" s="26" customFormat="1" ht="13.5" hidden="1" customHeight="1">
      <c r="A21" s="913" t="s">
        <v>215</v>
      </c>
      <c r="B21" s="888" t="s">
        <v>214</v>
      </c>
      <c r="C21" s="81" t="s">
        <v>13</v>
      </c>
      <c r="D21" s="45">
        <f>E21+M21</f>
        <v>30000</v>
      </c>
      <c r="E21" s="46">
        <f>F21+I21+J21+K21+L21</f>
        <v>30000</v>
      </c>
      <c r="F21" s="46">
        <f>G21+H21</f>
        <v>30000</v>
      </c>
      <c r="G21" s="46">
        <v>0</v>
      </c>
      <c r="H21" s="46">
        <v>30000</v>
      </c>
      <c r="I21" s="46">
        <v>0</v>
      </c>
      <c r="J21" s="46">
        <v>0</v>
      </c>
      <c r="K21" s="46">
        <v>0</v>
      </c>
      <c r="L21" s="46">
        <v>0</v>
      </c>
      <c r="M21" s="46">
        <f>N21+P21</f>
        <v>0</v>
      </c>
      <c r="N21" s="46">
        <v>0</v>
      </c>
      <c r="O21" s="46">
        <v>0</v>
      </c>
      <c r="P21" s="46">
        <v>0</v>
      </c>
      <c r="Q21" s="56"/>
      <c r="R21" s="56"/>
      <c r="S21" s="32"/>
      <c r="T21" s="32"/>
      <c r="U21" s="32"/>
    </row>
    <row r="22" spans="1:21" s="26" customFormat="1" ht="13.5" hidden="1" customHeight="1">
      <c r="A22" s="914"/>
      <c r="B22" s="889"/>
      <c r="C22" s="81" t="s">
        <v>14</v>
      </c>
      <c r="D22" s="45">
        <f>E22+M22</f>
        <v>0</v>
      </c>
      <c r="E22" s="46">
        <f>F22+I22+J22+K22+L22</f>
        <v>0</v>
      </c>
      <c r="F22" s="46">
        <f>G22+H22</f>
        <v>0</v>
      </c>
      <c r="G22" s="46"/>
      <c r="H22" s="46"/>
      <c r="I22" s="46"/>
      <c r="J22" s="46"/>
      <c r="K22" s="46"/>
      <c r="L22" s="46"/>
      <c r="M22" s="46">
        <f>N22+P22</f>
        <v>0</v>
      </c>
      <c r="N22" s="46"/>
      <c r="O22" s="46"/>
      <c r="P22" s="46"/>
      <c r="Q22" s="56"/>
      <c r="R22" s="56"/>
      <c r="S22" s="32"/>
      <c r="T22" s="32"/>
      <c r="U22" s="32"/>
    </row>
    <row r="23" spans="1:21" s="26" customFormat="1" ht="13.5" hidden="1" customHeight="1">
      <c r="A23" s="915"/>
      <c r="B23" s="890"/>
      <c r="C23" s="81" t="s">
        <v>15</v>
      </c>
      <c r="D23" s="45">
        <f>D21+D22</f>
        <v>30000</v>
      </c>
      <c r="E23" s="46">
        <f t="shared" ref="E23:P23" si="5">E21+E22</f>
        <v>30000</v>
      </c>
      <c r="F23" s="46">
        <f t="shared" si="5"/>
        <v>30000</v>
      </c>
      <c r="G23" s="46">
        <f t="shared" si="5"/>
        <v>0</v>
      </c>
      <c r="H23" s="46">
        <f t="shared" si="5"/>
        <v>30000</v>
      </c>
      <c r="I23" s="46">
        <f t="shared" si="5"/>
        <v>0</v>
      </c>
      <c r="J23" s="46">
        <f t="shared" si="5"/>
        <v>0</v>
      </c>
      <c r="K23" s="46">
        <f t="shared" si="5"/>
        <v>0</v>
      </c>
      <c r="L23" s="46">
        <f t="shared" si="5"/>
        <v>0</v>
      </c>
      <c r="M23" s="46">
        <f t="shared" si="5"/>
        <v>0</v>
      </c>
      <c r="N23" s="46">
        <f t="shared" si="5"/>
        <v>0</v>
      </c>
      <c r="O23" s="46">
        <f t="shared" si="5"/>
        <v>0</v>
      </c>
      <c r="P23" s="46">
        <f t="shared" si="5"/>
        <v>0</v>
      </c>
      <c r="Q23" s="56"/>
      <c r="R23" s="56"/>
      <c r="S23" s="32"/>
      <c r="T23" s="32"/>
      <c r="U23" s="32"/>
    </row>
    <row r="24" spans="1:21" s="26" customFormat="1" ht="13.5" hidden="1" customHeight="1">
      <c r="A24" s="892" t="s">
        <v>89</v>
      </c>
      <c r="B24" s="888" t="s">
        <v>90</v>
      </c>
      <c r="C24" s="81" t="s">
        <v>13</v>
      </c>
      <c r="D24" s="45">
        <f>E24+M24</f>
        <v>1300000</v>
      </c>
      <c r="E24" s="46">
        <f>F24+I24+J24+K24+L24</f>
        <v>1300000</v>
      </c>
      <c r="F24" s="46">
        <f>G24+H24</f>
        <v>0</v>
      </c>
      <c r="G24" s="46">
        <v>0</v>
      </c>
      <c r="H24" s="46">
        <v>0</v>
      </c>
      <c r="I24" s="46">
        <v>1300000</v>
      </c>
      <c r="J24" s="46">
        <v>0</v>
      </c>
      <c r="K24" s="46">
        <v>0</v>
      </c>
      <c r="L24" s="46">
        <v>0</v>
      </c>
      <c r="M24" s="46">
        <f>N24+P24</f>
        <v>0</v>
      </c>
      <c r="N24" s="46">
        <v>0</v>
      </c>
      <c r="O24" s="46">
        <v>0</v>
      </c>
      <c r="P24" s="46">
        <v>0</v>
      </c>
      <c r="Q24" s="56"/>
      <c r="R24" s="56"/>
      <c r="S24" s="32"/>
      <c r="T24" s="32"/>
      <c r="U24" s="32"/>
    </row>
    <row r="25" spans="1:21" s="26" customFormat="1" ht="13.5" hidden="1" customHeight="1">
      <c r="A25" s="893"/>
      <c r="B25" s="889"/>
      <c r="C25" s="81" t="s">
        <v>14</v>
      </c>
      <c r="D25" s="45">
        <f>E25+M25</f>
        <v>0</v>
      </c>
      <c r="E25" s="46">
        <f>F25+I25+J25+K25+L25</f>
        <v>0</v>
      </c>
      <c r="F25" s="46">
        <f>G25+H25</f>
        <v>0</v>
      </c>
      <c r="G25" s="46"/>
      <c r="H25" s="46"/>
      <c r="I25" s="46"/>
      <c r="J25" s="46"/>
      <c r="K25" s="46"/>
      <c r="L25" s="46"/>
      <c r="M25" s="46">
        <f>N25+P25</f>
        <v>0</v>
      </c>
      <c r="N25" s="46"/>
      <c r="O25" s="46"/>
      <c r="P25" s="46"/>
      <c r="Q25" s="56"/>
      <c r="R25" s="56"/>
      <c r="S25" s="32"/>
      <c r="T25" s="32"/>
      <c r="U25" s="32"/>
    </row>
    <row r="26" spans="1:21" s="26" customFormat="1" ht="13.5" hidden="1" customHeight="1">
      <c r="A26" s="894"/>
      <c r="B26" s="890"/>
      <c r="C26" s="81" t="s">
        <v>15</v>
      </c>
      <c r="D26" s="45">
        <f>D24+D25</f>
        <v>1300000</v>
      </c>
      <c r="E26" s="46">
        <f t="shared" ref="E26:P26" si="6">E24+E25</f>
        <v>1300000</v>
      </c>
      <c r="F26" s="46">
        <f t="shared" si="6"/>
        <v>0</v>
      </c>
      <c r="G26" s="46">
        <f t="shared" si="6"/>
        <v>0</v>
      </c>
      <c r="H26" s="46">
        <f t="shared" si="6"/>
        <v>0</v>
      </c>
      <c r="I26" s="46">
        <f t="shared" si="6"/>
        <v>1300000</v>
      </c>
      <c r="J26" s="46">
        <f t="shared" si="6"/>
        <v>0</v>
      </c>
      <c r="K26" s="46">
        <f t="shared" si="6"/>
        <v>0</v>
      </c>
      <c r="L26" s="46">
        <f t="shared" si="6"/>
        <v>0</v>
      </c>
      <c r="M26" s="46">
        <f t="shared" si="6"/>
        <v>0</v>
      </c>
      <c r="N26" s="46">
        <f t="shared" si="6"/>
        <v>0</v>
      </c>
      <c r="O26" s="46">
        <f t="shared" si="6"/>
        <v>0</v>
      </c>
      <c r="P26" s="46">
        <f t="shared" si="6"/>
        <v>0</v>
      </c>
      <c r="Q26" s="56"/>
      <c r="R26" s="56"/>
      <c r="S26" s="32"/>
      <c r="T26" s="32"/>
      <c r="U26" s="32"/>
    </row>
    <row r="27" spans="1:21" s="26" customFormat="1" ht="13.5" hidden="1" customHeight="1">
      <c r="A27" s="892" t="s">
        <v>91</v>
      </c>
      <c r="B27" s="888" t="s">
        <v>92</v>
      </c>
      <c r="C27" s="81" t="s">
        <v>13</v>
      </c>
      <c r="D27" s="45">
        <f>E27+M27</f>
        <v>6160500</v>
      </c>
      <c r="E27" s="46">
        <f>F27+I27+J27+K27+L27</f>
        <v>6158000</v>
      </c>
      <c r="F27" s="46">
        <f>G27+H27</f>
        <v>0</v>
      </c>
      <c r="G27" s="46">
        <v>0</v>
      </c>
      <c r="H27" s="46">
        <v>0</v>
      </c>
      <c r="I27" s="46">
        <v>8000</v>
      </c>
      <c r="J27" s="46">
        <v>0</v>
      </c>
      <c r="K27" s="46">
        <f>305370+174630+63630+36370+2157660+1233288+171165+97835+404109+230983+56287+32173+20998+12002+636+364+62357+35643+2863+1637+50904+29096+12089+6911+315017+178783+8717+4983+1909+1091+235431+134569+8272+4728+15907+9093+3499+2001+17180+9820</f>
        <v>6150000</v>
      </c>
      <c r="L27" s="46">
        <v>0</v>
      </c>
      <c r="M27" s="46">
        <f>N27+P27</f>
        <v>2500</v>
      </c>
      <c r="N27" s="46">
        <v>2500</v>
      </c>
      <c r="O27" s="46">
        <v>0</v>
      </c>
      <c r="P27" s="46">
        <v>0</v>
      </c>
      <c r="Q27" s="56"/>
      <c r="R27" s="56"/>
      <c r="S27" s="32"/>
      <c r="T27" s="32"/>
      <c r="U27" s="32"/>
    </row>
    <row r="28" spans="1:21" s="26" customFormat="1" ht="13.5" hidden="1" customHeight="1">
      <c r="A28" s="893"/>
      <c r="B28" s="889"/>
      <c r="C28" s="81" t="s">
        <v>14</v>
      </c>
      <c r="D28" s="45">
        <f>E28+M28</f>
        <v>0</v>
      </c>
      <c r="E28" s="46">
        <f>F28+I28+J28+K28+L28</f>
        <v>0</v>
      </c>
      <c r="F28" s="46">
        <f>G28+H28</f>
        <v>0</v>
      </c>
      <c r="G28" s="46"/>
      <c r="H28" s="46"/>
      <c r="I28" s="46"/>
      <c r="J28" s="46"/>
      <c r="K28" s="46"/>
      <c r="L28" s="46"/>
      <c r="M28" s="46">
        <f>N28+P28</f>
        <v>0</v>
      </c>
      <c r="N28" s="46"/>
      <c r="O28" s="46"/>
      <c r="P28" s="46"/>
      <c r="Q28" s="56"/>
      <c r="R28" s="56"/>
      <c r="S28" s="32"/>
      <c r="T28" s="32"/>
      <c r="U28" s="32"/>
    </row>
    <row r="29" spans="1:21" s="26" customFormat="1" ht="13.5" hidden="1" customHeight="1">
      <c r="A29" s="894"/>
      <c r="B29" s="890"/>
      <c r="C29" s="81" t="s">
        <v>15</v>
      </c>
      <c r="D29" s="45">
        <f>D27+D28</f>
        <v>6160500</v>
      </c>
      <c r="E29" s="46">
        <f t="shared" ref="E29:P29" si="7">E27+E28</f>
        <v>6158000</v>
      </c>
      <c r="F29" s="46">
        <f t="shared" si="7"/>
        <v>0</v>
      </c>
      <c r="G29" s="46">
        <f t="shared" si="7"/>
        <v>0</v>
      </c>
      <c r="H29" s="46">
        <f t="shared" si="7"/>
        <v>0</v>
      </c>
      <c r="I29" s="46">
        <f t="shared" si="7"/>
        <v>8000</v>
      </c>
      <c r="J29" s="46">
        <f t="shared" si="7"/>
        <v>0</v>
      </c>
      <c r="K29" s="46">
        <f t="shared" si="7"/>
        <v>6150000</v>
      </c>
      <c r="L29" s="46">
        <f t="shared" si="7"/>
        <v>0</v>
      </c>
      <c r="M29" s="46">
        <f t="shared" si="7"/>
        <v>2500</v>
      </c>
      <c r="N29" s="46">
        <f t="shared" si="7"/>
        <v>2500</v>
      </c>
      <c r="O29" s="46">
        <f t="shared" si="7"/>
        <v>0</v>
      </c>
      <c r="P29" s="46">
        <f t="shared" si="7"/>
        <v>0</v>
      </c>
      <c r="Q29" s="56"/>
      <c r="R29" s="56"/>
      <c r="S29" s="32"/>
      <c r="T29" s="32"/>
      <c r="U29" s="32"/>
    </row>
    <row r="30" spans="1:21" s="26" customFormat="1" ht="13.5" hidden="1" customHeight="1">
      <c r="A30" s="892" t="s">
        <v>18</v>
      </c>
      <c r="B30" s="888" t="s">
        <v>93</v>
      </c>
      <c r="C30" s="81" t="s">
        <v>13</v>
      </c>
      <c r="D30" s="45">
        <f>E30+M30</f>
        <v>8080000</v>
      </c>
      <c r="E30" s="46">
        <f>F30+I30+J30+K30+L30</f>
        <v>596161</v>
      </c>
      <c r="F30" s="46">
        <f>G30+H30</f>
        <v>596161</v>
      </c>
      <c r="G30" s="46">
        <v>571161</v>
      </c>
      <c r="H30" s="46">
        <f>15000+500+6500+3000</f>
        <v>25000</v>
      </c>
      <c r="I30" s="46">
        <v>0</v>
      </c>
      <c r="J30" s="46">
        <v>0</v>
      </c>
      <c r="K30" s="46">
        <v>0</v>
      </c>
      <c r="L30" s="46">
        <v>0</v>
      </c>
      <c r="M30" s="46">
        <f>N30+P30</f>
        <v>7483839</v>
      </c>
      <c r="N30" s="46">
        <v>7483839</v>
      </c>
      <c r="O30" s="46">
        <v>0</v>
      </c>
      <c r="P30" s="46">
        <v>0</v>
      </c>
      <c r="Q30" s="56"/>
      <c r="R30" s="56"/>
      <c r="S30" s="32"/>
      <c r="T30" s="32"/>
      <c r="U30" s="32"/>
    </row>
    <row r="31" spans="1:21" s="26" customFormat="1" ht="13.5" hidden="1" customHeight="1">
      <c r="A31" s="893"/>
      <c r="B31" s="889"/>
      <c r="C31" s="81" t="s">
        <v>14</v>
      </c>
      <c r="D31" s="45">
        <f>E31+M31</f>
        <v>0</v>
      </c>
      <c r="E31" s="46">
        <f>F31+I31+J31+K31+L31</f>
        <v>0</v>
      </c>
      <c r="F31" s="46">
        <f>G31+H31</f>
        <v>0</v>
      </c>
      <c r="G31" s="46"/>
      <c r="H31" s="46"/>
      <c r="I31" s="46"/>
      <c r="J31" s="46"/>
      <c r="K31" s="46"/>
      <c r="L31" s="46"/>
      <c r="M31" s="46">
        <f>N31+P31</f>
        <v>0</v>
      </c>
      <c r="N31" s="46"/>
      <c r="O31" s="46"/>
      <c r="P31" s="46"/>
      <c r="Q31" s="56"/>
      <c r="R31" s="56"/>
      <c r="S31" s="32"/>
      <c r="T31" s="32"/>
      <c r="U31" s="32"/>
    </row>
    <row r="32" spans="1:21" s="26" customFormat="1" ht="13.5" hidden="1" customHeight="1">
      <c r="A32" s="894"/>
      <c r="B32" s="890"/>
      <c r="C32" s="81" t="s">
        <v>15</v>
      </c>
      <c r="D32" s="45">
        <f>D30+D31</f>
        <v>8080000</v>
      </c>
      <c r="E32" s="46">
        <f t="shared" ref="E32:P32" si="8">E30+E31</f>
        <v>596161</v>
      </c>
      <c r="F32" s="46">
        <f t="shared" si="8"/>
        <v>596161</v>
      </c>
      <c r="G32" s="46">
        <f t="shared" si="8"/>
        <v>571161</v>
      </c>
      <c r="H32" s="46">
        <f t="shared" si="8"/>
        <v>25000</v>
      </c>
      <c r="I32" s="46">
        <f t="shared" si="8"/>
        <v>0</v>
      </c>
      <c r="J32" s="46">
        <f t="shared" si="8"/>
        <v>0</v>
      </c>
      <c r="K32" s="46">
        <f t="shared" si="8"/>
        <v>0</v>
      </c>
      <c r="L32" s="46">
        <f t="shared" si="8"/>
        <v>0</v>
      </c>
      <c r="M32" s="46">
        <f t="shared" si="8"/>
        <v>7483839</v>
      </c>
      <c r="N32" s="46">
        <f t="shared" si="8"/>
        <v>7483839</v>
      </c>
      <c r="O32" s="46">
        <f t="shared" si="8"/>
        <v>0</v>
      </c>
      <c r="P32" s="46">
        <f t="shared" si="8"/>
        <v>0</v>
      </c>
      <c r="Q32" s="56"/>
      <c r="R32" s="56"/>
      <c r="S32" s="32"/>
      <c r="T32" s="32"/>
      <c r="U32" s="32"/>
    </row>
    <row r="33" spans="1:21" s="26" customFormat="1" ht="13.5" hidden="1" customHeight="1">
      <c r="A33" s="892" t="s">
        <v>94</v>
      </c>
      <c r="B33" s="888" t="s">
        <v>51</v>
      </c>
      <c r="C33" s="81" t="s">
        <v>13</v>
      </c>
      <c r="D33" s="45">
        <f>E33+M33</f>
        <v>429846</v>
      </c>
      <c r="E33" s="46">
        <f>F33+I33+J33+K33+L33</f>
        <v>429846</v>
      </c>
      <c r="F33" s="46">
        <f>G33+H33</f>
        <v>369846</v>
      </c>
      <c r="G33" s="46">
        <v>0</v>
      </c>
      <c r="H33" s="46">
        <v>369846</v>
      </c>
      <c r="I33" s="46">
        <v>60000</v>
      </c>
      <c r="J33" s="46">
        <v>0</v>
      </c>
      <c r="K33" s="46">
        <v>0</v>
      </c>
      <c r="L33" s="46">
        <v>0</v>
      </c>
      <c r="M33" s="46">
        <f>N33+P33</f>
        <v>0</v>
      </c>
      <c r="N33" s="46">
        <v>0</v>
      </c>
      <c r="O33" s="46">
        <v>0</v>
      </c>
      <c r="P33" s="46">
        <v>0</v>
      </c>
      <c r="Q33" s="56"/>
      <c r="R33" s="56"/>
      <c r="S33" s="32"/>
      <c r="T33" s="32"/>
      <c r="U33" s="32"/>
    </row>
    <row r="34" spans="1:21" s="26" customFormat="1" ht="13.5" hidden="1" customHeight="1">
      <c r="A34" s="893"/>
      <c r="B34" s="889"/>
      <c r="C34" s="81" t="s">
        <v>14</v>
      </c>
      <c r="D34" s="45">
        <f>E34+M34</f>
        <v>0</v>
      </c>
      <c r="E34" s="46">
        <f>F34+I34+J34+K34+L34</f>
        <v>0</v>
      </c>
      <c r="F34" s="46">
        <f>G34+H34</f>
        <v>0</v>
      </c>
      <c r="G34" s="46"/>
      <c r="H34" s="46"/>
      <c r="I34" s="46"/>
      <c r="J34" s="46"/>
      <c r="K34" s="46"/>
      <c r="L34" s="46"/>
      <c r="M34" s="46">
        <f>N34+P34</f>
        <v>0</v>
      </c>
      <c r="N34" s="46"/>
      <c r="O34" s="46"/>
      <c r="P34" s="46"/>
      <c r="Q34" s="56"/>
      <c r="R34" s="56"/>
      <c r="S34" s="32"/>
      <c r="T34" s="32"/>
      <c r="U34" s="32"/>
    </row>
    <row r="35" spans="1:21" s="26" customFormat="1" ht="13.5" hidden="1" customHeight="1">
      <c r="A35" s="894"/>
      <c r="B35" s="890"/>
      <c r="C35" s="81" t="s">
        <v>15</v>
      </c>
      <c r="D35" s="45">
        <f>D33+D34</f>
        <v>429846</v>
      </c>
      <c r="E35" s="46">
        <f t="shared" ref="E35:P35" si="9">E33+E34</f>
        <v>429846</v>
      </c>
      <c r="F35" s="46">
        <f t="shared" si="9"/>
        <v>369846</v>
      </c>
      <c r="G35" s="46">
        <f t="shared" si="9"/>
        <v>0</v>
      </c>
      <c r="H35" s="46">
        <f t="shared" si="9"/>
        <v>369846</v>
      </c>
      <c r="I35" s="46">
        <f t="shared" si="9"/>
        <v>60000</v>
      </c>
      <c r="J35" s="46">
        <f t="shared" si="9"/>
        <v>0</v>
      </c>
      <c r="K35" s="46">
        <f t="shared" si="9"/>
        <v>0</v>
      </c>
      <c r="L35" s="46">
        <f t="shared" si="9"/>
        <v>0</v>
      </c>
      <c r="M35" s="46">
        <f t="shared" si="9"/>
        <v>0</v>
      </c>
      <c r="N35" s="46">
        <f t="shared" si="9"/>
        <v>0</v>
      </c>
      <c r="O35" s="46">
        <f t="shared" si="9"/>
        <v>0</v>
      </c>
      <c r="P35" s="46">
        <f t="shared" si="9"/>
        <v>0</v>
      </c>
      <c r="Q35" s="56"/>
      <c r="R35" s="56"/>
      <c r="S35" s="32"/>
      <c r="T35" s="32"/>
      <c r="U35" s="32"/>
    </row>
    <row r="36" spans="1:21" s="27" customFormat="1" ht="14.25" hidden="1">
      <c r="A36" s="895" t="s">
        <v>65</v>
      </c>
      <c r="B36" s="880" t="s">
        <v>66</v>
      </c>
      <c r="C36" s="80" t="s">
        <v>13</v>
      </c>
      <c r="D36" s="47">
        <f>D39+D42</f>
        <v>320000</v>
      </c>
      <c r="E36" s="48">
        <f>E39+E42</f>
        <v>320000</v>
      </c>
      <c r="F36" s="48">
        <f t="shared" ref="F36:P36" si="10">F39+F42</f>
        <v>64000</v>
      </c>
      <c r="G36" s="48">
        <f t="shared" si="10"/>
        <v>64000</v>
      </c>
      <c r="H36" s="48">
        <f t="shared" si="10"/>
        <v>0</v>
      </c>
      <c r="I36" s="48">
        <f t="shared" si="10"/>
        <v>8000</v>
      </c>
      <c r="J36" s="48">
        <f t="shared" si="10"/>
        <v>0</v>
      </c>
      <c r="K36" s="48">
        <f t="shared" si="10"/>
        <v>248000</v>
      </c>
      <c r="L36" s="48">
        <f t="shared" si="10"/>
        <v>0</v>
      </c>
      <c r="M36" s="48">
        <f t="shared" si="10"/>
        <v>0</v>
      </c>
      <c r="N36" s="48">
        <f t="shared" si="10"/>
        <v>0</v>
      </c>
      <c r="O36" s="48">
        <f t="shared" si="10"/>
        <v>0</v>
      </c>
      <c r="P36" s="48">
        <f t="shared" si="10"/>
        <v>0</v>
      </c>
      <c r="Q36" s="68"/>
      <c r="R36" s="68"/>
      <c r="S36" s="33"/>
      <c r="T36" s="33"/>
      <c r="U36" s="33"/>
    </row>
    <row r="37" spans="1:21" s="27" customFormat="1" ht="14.25" hidden="1">
      <c r="A37" s="896"/>
      <c r="B37" s="881"/>
      <c r="C37" s="80" t="s">
        <v>14</v>
      </c>
      <c r="D37" s="47">
        <f>D40+D43</f>
        <v>0</v>
      </c>
      <c r="E37" s="48">
        <f t="shared" ref="E37:P37" si="11">E40+E43</f>
        <v>0</v>
      </c>
      <c r="F37" s="48">
        <f t="shared" si="11"/>
        <v>0</v>
      </c>
      <c r="G37" s="48">
        <f t="shared" si="11"/>
        <v>0</v>
      </c>
      <c r="H37" s="48">
        <f t="shared" si="11"/>
        <v>0</v>
      </c>
      <c r="I37" s="48">
        <f t="shared" si="11"/>
        <v>0</v>
      </c>
      <c r="J37" s="48">
        <f t="shared" si="11"/>
        <v>0</v>
      </c>
      <c r="K37" s="48">
        <f t="shared" si="11"/>
        <v>0</v>
      </c>
      <c r="L37" s="48">
        <f t="shared" si="11"/>
        <v>0</v>
      </c>
      <c r="M37" s="48">
        <f t="shared" si="11"/>
        <v>0</v>
      </c>
      <c r="N37" s="48">
        <f t="shared" si="11"/>
        <v>0</v>
      </c>
      <c r="O37" s="48">
        <f t="shared" si="11"/>
        <v>0</v>
      </c>
      <c r="P37" s="48">
        <f t="shared" si="11"/>
        <v>0</v>
      </c>
      <c r="Q37" s="68"/>
      <c r="R37" s="68"/>
      <c r="S37" s="33"/>
      <c r="T37" s="33"/>
      <c r="U37" s="33"/>
    </row>
    <row r="38" spans="1:21" s="27" customFormat="1" ht="14.25" hidden="1">
      <c r="A38" s="897"/>
      <c r="B38" s="882"/>
      <c r="C38" s="80" t="s">
        <v>15</v>
      </c>
      <c r="D38" s="47">
        <f>D36+D37</f>
        <v>320000</v>
      </c>
      <c r="E38" s="48">
        <f t="shared" ref="E38:P38" si="12">E36+E37</f>
        <v>320000</v>
      </c>
      <c r="F38" s="48">
        <f t="shared" si="12"/>
        <v>64000</v>
      </c>
      <c r="G38" s="48">
        <f t="shared" si="12"/>
        <v>64000</v>
      </c>
      <c r="H38" s="48">
        <f t="shared" si="12"/>
        <v>0</v>
      </c>
      <c r="I38" s="48">
        <f t="shared" si="12"/>
        <v>8000</v>
      </c>
      <c r="J38" s="48">
        <f t="shared" si="12"/>
        <v>0</v>
      </c>
      <c r="K38" s="48">
        <f t="shared" si="12"/>
        <v>248000</v>
      </c>
      <c r="L38" s="48">
        <f t="shared" si="12"/>
        <v>0</v>
      </c>
      <c r="M38" s="48">
        <f t="shared" si="12"/>
        <v>0</v>
      </c>
      <c r="N38" s="48">
        <f t="shared" si="12"/>
        <v>0</v>
      </c>
      <c r="O38" s="48">
        <f t="shared" si="12"/>
        <v>0</v>
      </c>
      <c r="P38" s="48">
        <f t="shared" si="12"/>
        <v>0</v>
      </c>
      <c r="Q38" s="68"/>
      <c r="R38" s="68"/>
      <c r="S38" s="33"/>
      <c r="T38" s="33"/>
      <c r="U38" s="33"/>
    </row>
    <row r="39" spans="1:21" s="26" customFormat="1" ht="19.899999999999999" hidden="1" customHeight="1">
      <c r="A39" s="892" t="s">
        <v>95</v>
      </c>
      <c r="B39" s="898" t="s">
        <v>96</v>
      </c>
      <c r="C39" s="81" t="s">
        <v>13</v>
      </c>
      <c r="D39" s="45">
        <f>E39+M39</f>
        <v>256000</v>
      </c>
      <c r="E39" s="46">
        <f>F39+I39+J39+K39+L39</f>
        <v>256000</v>
      </c>
      <c r="F39" s="46">
        <f>G39+H39</f>
        <v>0</v>
      </c>
      <c r="G39" s="46">
        <v>0</v>
      </c>
      <c r="H39" s="46">
        <v>0</v>
      </c>
      <c r="I39" s="46">
        <v>8000</v>
      </c>
      <c r="J39" s="46">
        <v>0</v>
      </c>
      <c r="K39" s="46">
        <f>112251+37417+11250+3750+21553+7184+3071+1024+1875+625+3375+1125+1500+500+3000+1000+2250+750+4500+1500+750+250+17625+5875+750+250+750+250+750+250+750+250</f>
        <v>248000</v>
      </c>
      <c r="L39" s="46">
        <v>0</v>
      </c>
      <c r="M39" s="46">
        <f>N39+P39</f>
        <v>0</v>
      </c>
      <c r="N39" s="46">
        <v>0</v>
      </c>
      <c r="O39" s="46">
        <v>0</v>
      </c>
      <c r="P39" s="46">
        <v>0</v>
      </c>
      <c r="Q39" s="56"/>
      <c r="R39" s="56"/>
      <c r="S39" s="32"/>
      <c r="T39" s="32"/>
      <c r="U39" s="32"/>
    </row>
    <row r="40" spans="1:21" s="26" customFormat="1" ht="19.899999999999999" hidden="1" customHeight="1">
      <c r="A40" s="893"/>
      <c r="B40" s="899"/>
      <c r="C40" s="81" t="s">
        <v>14</v>
      </c>
      <c r="D40" s="45">
        <f>E40+M40</f>
        <v>0</v>
      </c>
      <c r="E40" s="46">
        <f>F40+I40+J40+K40+L40</f>
        <v>0</v>
      </c>
      <c r="F40" s="46">
        <f>G40+H40</f>
        <v>0</v>
      </c>
      <c r="G40" s="46"/>
      <c r="H40" s="46"/>
      <c r="I40" s="46"/>
      <c r="J40" s="46"/>
      <c r="K40" s="46"/>
      <c r="L40" s="46"/>
      <c r="M40" s="46">
        <f>N40+P40</f>
        <v>0</v>
      </c>
      <c r="N40" s="46"/>
      <c r="O40" s="46"/>
      <c r="P40" s="46"/>
      <c r="Q40" s="56"/>
      <c r="R40" s="56"/>
      <c r="S40" s="32"/>
      <c r="T40" s="32"/>
      <c r="U40" s="32"/>
    </row>
    <row r="41" spans="1:21" s="26" customFormat="1" ht="19.899999999999999" hidden="1" customHeight="1">
      <c r="A41" s="894"/>
      <c r="B41" s="900"/>
      <c r="C41" s="81" t="s">
        <v>15</v>
      </c>
      <c r="D41" s="45">
        <f>D39+D40</f>
        <v>256000</v>
      </c>
      <c r="E41" s="46">
        <f t="shared" ref="E41:P41" si="13">E39+E40</f>
        <v>256000</v>
      </c>
      <c r="F41" s="46">
        <f t="shared" si="13"/>
        <v>0</v>
      </c>
      <c r="G41" s="46">
        <f t="shared" si="13"/>
        <v>0</v>
      </c>
      <c r="H41" s="46">
        <f t="shared" si="13"/>
        <v>0</v>
      </c>
      <c r="I41" s="46">
        <f t="shared" si="13"/>
        <v>8000</v>
      </c>
      <c r="J41" s="46">
        <f t="shared" si="13"/>
        <v>0</v>
      </c>
      <c r="K41" s="46">
        <f t="shared" si="13"/>
        <v>248000</v>
      </c>
      <c r="L41" s="46">
        <f t="shared" si="13"/>
        <v>0</v>
      </c>
      <c r="M41" s="46">
        <f t="shared" si="13"/>
        <v>0</v>
      </c>
      <c r="N41" s="46">
        <f t="shared" si="13"/>
        <v>0</v>
      </c>
      <c r="O41" s="46">
        <f t="shared" si="13"/>
        <v>0</v>
      </c>
      <c r="P41" s="46">
        <f t="shared" si="13"/>
        <v>0</v>
      </c>
      <c r="Q41" s="56"/>
      <c r="R41" s="56"/>
      <c r="S41" s="32"/>
      <c r="T41" s="32"/>
      <c r="U41" s="32"/>
    </row>
    <row r="42" spans="1:21" s="26" customFormat="1" ht="13.5" hidden="1" customHeight="1">
      <c r="A42" s="913" t="s">
        <v>196</v>
      </c>
      <c r="B42" s="898" t="s">
        <v>51</v>
      </c>
      <c r="C42" s="81" t="s">
        <v>13</v>
      </c>
      <c r="D42" s="45">
        <f>E42+M42</f>
        <v>64000</v>
      </c>
      <c r="E42" s="46">
        <f>F42+I42+J42+K42+L42</f>
        <v>64000</v>
      </c>
      <c r="F42" s="46">
        <f>G42+H42</f>
        <v>64000</v>
      </c>
      <c r="G42" s="46">
        <v>64000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f>N42+P42</f>
        <v>0</v>
      </c>
      <c r="N42" s="46">
        <v>0</v>
      </c>
      <c r="O42" s="46">
        <v>0</v>
      </c>
      <c r="P42" s="46">
        <v>0</v>
      </c>
      <c r="Q42" s="56"/>
      <c r="R42" s="56"/>
      <c r="S42" s="32"/>
      <c r="T42" s="32"/>
      <c r="U42" s="32"/>
    </row>
    <row r="43" spans="1:21" s="26" customFormat="1" ht="13.5" hidden="1" customHeight="1">
      <c r="A43" s="914"/>
      <c r="B43" s="899"/>
      <c r="C43" s="81" t="s">
        <v>14</v>
      </c>
      <c r="D43" s="45">
        <f>E43+M43</f>
        <v>0</v>
      </c>
      <c r="E43" s="46">
        <f>F43+I43+J43+K43+L43</f>
        <v>0</v>
      </c>
      <c r="F43" s="46">
        <f>G43+H43</f>
        <v>0</v>
      </c>
      <c r="G43" s="46"/>
      <c r="H43" s="46"/>
      <c r="I43" s="46"/>
      <c r="J43" s="46"/>
      <c r="K43" s="46"/>
      <c r="L43" s="46"/>
      <c r="M43" s="46">
        <f>N43+P43</f>
        <v>0</v>
      </c>
      <c r="N43" s="46"/>
      <c r="O43" s="46"/>
      <c r="P43" s="46"/>
      <c r="Q43" s="56"/>
      <c r="R43" s="56"/>
      <c r="S43" s="32"/>
      <c r="T43" s="32"/>
      <c r="U43" s="32"/>
    </row>
    <row r="44" spans="1:21" s="26" customFormat="1" ht="13.5" hidden="1" customHeight="1">
      <c r="A44" s="915"/>
      <c r="B44" s="900"/>
      <c r="C44" s="81" t="s">
        <v>15</v>
      </c>
      <c r="D44" s="45">
        <f>D42+D43</f>
        <v>64000</v>
      </c>
      <c r="E44" s="46">
        <f t="shared" ref="E44:P44" si="14">E42+E43</f>
        <v>64000</v>
      </c>
      <c r="F44" s="46">
        <f t="shared" si="14"/>
        <v>64000</v>
      </c>
      <c r="G44" s="46">
        <f t="shared" si="14"/>
        <v>64000</v>
      </c>
      <c r="H44" s="46">
        <f t="shared" si="14"/>
        <v>0</v>
      </c>
      <c r="I44" s="46">
        <f t="shared" si="14"/>
        <v>0</v>
      </c>
      <c r="J44" s="46">
        <f t="shared" si="14"/>
        <v>0</v>
      </c>
      <c r="K44" s="46">
        <f t="shared" si="14"/>
        <v>0</v>
      </c>
      <c r="L44" s="46">
        <f t="shared" si="14"/>
        <v>0</v>
      </c>
      <c r="M44" s="46">
        <f t="shared" si="14"/>
        <v>0</v>
      </c>
      <c r="N44" s="46">
        <f t="shared" si="14"/>
        <v>0</v>
      </c>
      <c r="O44" s="46">
        <f t="shared" si="14"/>
        <v>0</v>
      </c>
      <c r="P44" s="46">
        <f t="shared" si="14"/>
        <v>0</v>
      </c>
      <c r="Q44" s="56"/>
      <c r="R44" s="56"/>
      <c r="S44" s="32"/>
      <c r="T44" s="32"/>
      <c r="U44" s="32"/>
    </row>
    <row r="45" spans="1:21" s="28" customFormat="1" ht="14.25">
      <c r="A45" s="895" t="s">
        <v>97</v>
      </c>
      <c r="B45" s="880" t="s">
        <v>98</v>
      </c>
      <c r="C45" s="80" t="s">
        <v>13</v>
      </c>
      <c r="D45" s="43">
        <f t="shared" ref="D45:P46" si="15">D51+D54+D48</f>
        <v>28893004</v>
      </c>
      <c r="E45" s="44">
        <f t="shared" si="15"/>
        <v>28893004</v>
      </c>
      <c r="F45" s="44">
        <f t="shared" si="15"/>
        <v>1991551</v>
      </c>
      <c r="G45" s="44">
        <f t="shared" si="15"/>
        <v>273191</v>
      </c>
      <c r="H45" s="44">
        <f t="shared" si="15"/>
        <v>1718360</v>
      </c>
      <c r="I45" s="44">
        <f t="shared" si="15"/>
        <v>1253635</v>
      </c>
      <c r="J45" s="44">
        <f t="shared" si="15"/>
        <v>0</v>
      </c>
      <c r="K45" s="44">
        <f t="shared" si="15"/>
        <v>25647818</v>
      </c>
      <c r="L45" s="44">
        <f t="shared" si="15"/>
        <v>0</v>
      </c>
      <c r="M45" s="44">
        <f t="shared" si="15"/>
        <v>0</v>
      </c>
      <c r="N45" s="44">
        <f t="shared" si="15"/>
        <v>0</v>
      </c>
      <c r="O45" s="44">
        <f t="shared" si="15"/>
        <v>0</v>
      </c>
      <c r="P45" s="44">
        <f t="shared" si="15"/>
        <v>0</v>
      </c>
      <c r="Q45" s="69"/>
      <c r="R45" s="69"/>
      <c r="S45" s="34"/>
      <c r="T45" s="34"/>
      <c r="U45" s="34"/>
    </row>
    <row r="46" spans="1:21" s="28" customFormat="1" ht="14.25">
      <c r="A46" s="896"/>
      <c r="B46" s="881"/>
      <c r="C46" s="80" t="s">
        <v>14</v>
      </c>
      <c r="D46" s="43">
        <f t="shared" si="15"/>
        <v>288723</v>
      </c>
      <c r="E46" s="44">
        <f t="shared" si="15"/>
        <v>288723</v>
      </c>
      <c r="F46" s="44">
        <f t="shared" si="15"/>
        <v>194085</v>
      </c>
      <c r="G46" s="44">
        <f t="shared" si="15"/>
        <v>37000</v>
      </c>
      <c r="H46" s="44">
        <f t="shared" si="15"/>
        <v>157085</v>
      </c>
      <c r="I46" s="44">
        <f t="shared" si="15"/>
        <v>120670</v>
      </c>
      <c r="J46" s="44">
        <f t="shared" si="15"/>
        <v>0</v>
      </c>
      <c r="K46" s="44">
        <f t="shared" si="15"/>
        <v>-26032</v>
      </c>
      <c r="L46" s="44">
        <f t="shared" si="15"/>
        <v>0</v>
      </c>
      <c r="M46" s="44">
        <f t="shared" si="15"/>
        <v>0</v>
      </c>
      <c r="N46" s="44">
        <f t="shared" si="15"/>
        <v>0</v>
      </c>
      <c r="O46" s="44">
        <f t="shared" si="15"/>
        <v>0</v>
      </c>
      <c r="P46" s="44">
        <f t="shared" si="15"/>
        <v>0</v>
      </c>
      <c r="Q46" s="69"/>
      <c r="R46" s="69"/>
      <c r="S46" s="34"/>
      <c r="T46" s="34"/>
      <c r="U46" s="34"/>
    </row>
    <row r="47" spans="1:21" s="28" customFormat="1" ht="14.25">
      <c r="A47" s="897"/>
      <c r="B47" s="882"/>
      <c r="C47" s="80" t="s">
        <v>15</v>
      </c>
      <c r="D47" s="43">
        <f>D45+D46</f>
        <v>29181727</v>
      </c>
      <c r="E47" s="44">
        <f t="shared" ref="E47:P47" si="16">E45+E46</f>
        <v>29181727</v>
      </c>
      <c r="F47" s="44">
        <f t="shared" si="16"/>
        <v>2185636</v>
      </c>
      <c r="G47" s="44">
        <f t="shared" si="16"/>
        <v>310191</v>
      </c>
      <c r="H47" s="44">
        <f t="shared" si="16"/>
        <v>1875445</v>
      </c>
      <c r="I47" s="44">
        <f t="shared" si="16"/>
        <v>1374305</v>
      </c>
      <c r="J47" s="44">
        <f t="shared" si="16"/>
        <v>0</v>
      </c>
      <c r="K47" s="44">
        <f t="shared" si="16"/>
        <v>25621786</v>
      </c>
      <c r="L47" s="44">
        <f t="shared" si="16"/>
        <v>0</v>
      </c>
      <c r="M47" s="44">
        <f t="shared" si="16"/>
        <v>0</v>
      </c>
      <c r="N47" s="44">
        <f t="shared" si="16"/>
        <v>0</v>
      </c>
      <c r="O47" s="44">
        <f t="shared" si="16"/>
        <v>0</v>
      </c>
      <c r="P47" s="44">
        <f t="shared" si="16"/>
        <v>0</v>
      </c>
      <c r="Q47" s="69"/>
      <c r="R47" s="69"/>
      <c r="S47" s="34"/>
      <c r="T47" s="34"/>
      <c r="U47" s="34"/>
    </row>
    <row r="48" spans="1:21" s="26" customFormat="1" ht="13.5" customHeight="1">
      <c r="A48" s="892" t="s">
        <v>188</v>
      </c>
      <c r="B48" s="898" t="s">
        <v>189</v>
      </c>
      <c r="C48" s="81" t="s">
        <v>13</v>
      </c>
      <c r="D48" s="45">
        <f>E48+M48</f>
        <v>5713666</v>
      </c>
      <c r="E48" s="46">
        <f>F48+I48+J48+K48+L48</f>
        <v>5713666</v>
      </c>
      <c r="F48" s="46">
        <f>G48+H48</f>
        <v>1951551</v>
      </c>
      <c r="G48" s="46">
        <v>268191</v>
      </c>
      <c r="H48" s="46">
        <f>1680360+3000</f>
        <v>1683360</v>
      </c>
      <c r="I48" s="46">
        <v>1253635</v>
      </c>
      <c r="J48" s="46">
        <v>0</v>
      </c>
      <c r="K48" s="46">
        <v>2508480</v>
      </c>
      <c r="L48" s="46">
        <v>0</v>
      </c>
      <c r="M48" s="46">
        <f>N48+P48</f>
        <v>0</v>
      </c>
      <c r="N48" s="46">
        <v>0</v>
      </c>
      <c r="O48" s="46">
        <v>0</v>
      </c>
      <c r="P48" s="46">
        <v>0</v>
      </c>
      <c r="Q48" s="56"/>
      <c r="R48" s="56"/>
      <c r="S48" s="32"/>
      <c r="T48" s="32"/>
      <c r="U48" s="32"/>
    </row>
    <row r="49" spans="1:21" s="26" customFormat="1" ht="13.5" customHeight="1">
      <c r="A49" s="893"/>
      <c r="B49" s="899"/>
      <c r="C49" s="81" t="s">
        <v>14</v>
      </c>
      <c r="D49" s="45">
        <f>E49+M49</f>
        <v>207835</v>
      </c>
      <c r="E49" s="46">
        <f>F49+I49+J49+K49+L49</f>
        <v>207835</v>
      </c>
      <c r="F49" s="46">
        <f>G49+H49</f>
        <v>194085</v>
      </c>
      <c r="G49" s="46">
        <f>20000+17000</f>
        <v>37000</v>
      </c>
      <c r="H49" s="46">
        <f>25000+132085</f>
        <v>157085</v>
      </c>
      <c r="I49" s="46">
        <v>120670</v>
      </c>
      <c r="J49" s="46"/>
      <c r="K49" s="46">
        <f>-144000+30993+5328+759</f>
        <v>-106920</v>
      </c>
      <c r="L49" s="46"/>
      <c r="M49" s="46">
        <f>N49+P49</f>
        <v>0</v>
      </c>
      <c r="N49" s="46"/>
      <c r="O49" s="46"/>
      <c r="P49" s="46"/>
      <c r="Q49" s="56"/>
      <c r="R49" s="56"/>
      <c r="S49" s="32"/>
      <c r="T49" s="32"/>
      <c r="U49" s="32"/>
    </row>
    <row r="50" spans="1:21" s="26" customFormat="1" ht="13.5" customHeight="1">
      <c r="A50" s="894"/>
      <c r="B50" s="900"/>
      <c r="C50" s="81" t="s">
        <v>15</v>
      </c>
      <c r="D50" s="45">
        <f>D48+D49</f>
        <v>5921501</v>
      </c>
      <c r="E50" s="46">
        <f t="shared" ref="E50:P50" si="17">E48+E49</f>
        <v>5921501</v>
      </c>
      <c r="F50" s="46">
        <f t="shared" si="17"/>
        <v>2145636</v>
      </c>
      <c r="G50" s="46">
        <f t="shared" si="17"/>
        <v>305191</v>
      </c>
      <c r="H50" s="46">
        <f t="shared" si="17"/>
        <v>1840445</v>
      </c>
      <c r="I50" s="46">
        <f t="shared" si="17"/>
        <v>1374305</v>
      </c>
      <c r="J50" s="46">
        <f t="shared" si="17"/>
        <v>0</v>
      </c>
      <c r="K50" s="46">
        <f t="shared" si="17"/>
        <v>2401560</v>
      </c>
      <c r="L50" s="46">
        <f t="shared" si="17"/>
        <v>0</v>
      </c>
      <c r="M50" s="46">
        <f t="shared" si="17"/>
        <v>0</v>
      </c>
      <c r="N50" s="46">
        <f t="shared" si="17"/>
        <v>0</v>
      </c>
      <c r="O50" s="46">
        <f t="shared" si="17"/>
        <v>0</v>
      </c>
      <c r="P50" s="46">
        <f t="shared" si="17"/>
        <v>0</v>
      </c>
      <c r="Q50" s="56"/>
      <c r="R50" s="56"/>
      <c r="S50" s="32"/>
      <c r="T50" s="32"/>
      <c r="U50" s="32"/>
    </row>
    <row r="51" spans="1:21" s="26" customFormat="1" hidden="1">
      <c r="A51" s="892" t="s">
        <v>99</v>
      </c>
      <c r="B51" s="898" t="s">
        <v>100</v>
      </c>
      <c r="C51" s="81" t="s">
        <v>13</v>
      </c>
      <c r="D51" s="45">
        <f>E51+M51</f>
        <v>22912226</v>
      </c>
      <c r="E51" s="46">
        <f>F51+I51+J51+K51+L51</f>
        <v>22912226</v>
      </c>
      <c r="F51" s="46">
        <f>G51+H51</f>
        <v>40000</v>
      </c>
      <c r="G51" s="46">
        <v>5000</v>
      </c>
      <c r="H51" s="46">
        <v>35000</v>
      </c>
      <c r="I51" s="46">
        <v>0</v>
      </c>
      <c r="J51" s="46">
        <v>0</v>
      </c>
      <c r="K51" s="46">
        <v>22872226</v>
      </c>
      <c r="L51" s="46">
        <v>0</v>
      </c>
      <c r="M51" s="46">
        <f>N51+P51</f>
        <v>0</v>
      </c>
      <c r="N51" s="46">
        <v>0</v>
      </c>
      <c r="O51" s="46">
        <v>0</v>
      </c>
      <c r="P51" s="46">
        <v>0</v>
      </c>
      <c r="Q51" s="56"/>
      <c r="R51" s="56"/>
      <c r="S51" s="32"/>
      <c r="T51" s="32"/>
      <c r="U51" s="32"/>
    </row>
    <row r="52" spans="1:21" s="26" customFormat="1" hidden="1">
      <c r="A52" s="893"/>
      <c r="B52" s="899"/>
      <c r="C52" s="81" t="s">
        <v>14</v>
      </c>
      <c r="D52" s="45">
        <f>E52+M52</f>
        <v>0</v>
      </c>
      <c r="E52" s="46">
        <f>F52+I52+J52+K52+L52</f>
        <v>0</v>
      </c>
      <c r="F52" s="46">
        <f>G52+H52</f>
        <v>0</v>
      </c>
      <c r="G52" s="46"/>
      <c r="H52" s="46"/>
      <c r="I52" s="46"/>
      <c r="J52" s="46"/>
      <c r="K52" s="46"/>
      <c r="L52" s="46"/>
      <c r="M52" s="46">
        <f>N52+P52</f>
        <v>0</v>
      </c>
      <c r="N52" s="46">
        <v>0</v>
      </c>
      <c r="O52" s="46"/>
      <c r="P52" s="46"/>
      <c r="Q52" s="56"/>
      <c r="R52" s="56"/>
      <c r="S52" s="32"/>
      <c r="T52" s="32"/>
      <c r="U52" s="32"/>
    </row>
    <row r="53" spans="1:21" s="26" customFormat="1" hidden="1">
      <c r="A53" s="894"/>
      <c r="B53" s="900"/>
      <c r="C53" s="81" t="s">
        <v>15</v>
      </c>
      <c r="D53" s="45">
        <f>D51+D52</f>
        <v>22912226</v>
      </c>
      <c r="E53" s="46">
        <f t="shared" ref="E53:P53" si="18">E51+E52</f>
        <v>22912226</v>
      </c>
      <c r="F53" s="46">
        <f t="shared" si="18"/>
        <v>40000</v>
      </c>
      <c r="G53" s="46">
        <f t="shared" si="18"/>
        <v>5000</v>
      </c>
      <c r="H53" s="46">
        <f t="shared" si="18"/>
        <v>35000</v>
      </c>
      <c r="I53" s="46">
        <f t="shared" si="18"/>
        <v>0</v>
      </c>
      <c r="J53" s="46">
        <f t="shared" si="18"/>
        <v>0</v>
      </c>
      <c r="K53" s="46">
        <f t="shared" si="18"/>
        <v>22872226</v>
      </c>
      <c r="L53" s="46">
        <f t="shared" si="18"/>
        <v>0</v>
      </c>
      <c r="M53" s="46">
        <f t="shared" si="18"/>
        <v>0</v>
      </c>
      <c r="N53" s="46">
        <f t="shared" si="18"/>
        <v>0</v>
      </c>
      <c r="O53" s="46">
        <f t="shared" si="18"/>
        <v>0</v>
      </c>
      <c r="P53" s="46">
        <f t="shared" si="18"/>
        <v>0</v>
      </c>
      <c r="Q53" s="56"/>
      <c r="R53" s="56"/>
      <c r="S53" s="32"/>
      <c r="T53" s="32"/>
      <c r="U53" s="32"/>
    </row>
    <row r="54" spans="1:21" s="26" customFormat="1" ht="13.5" customHeight="1">
      <c r="A54" s="892" t="s">
        <v>101</v>
      </c>
      <c r="B54" s="898" t="s">
        <v>51</v>
      </c>
      <c r="C54" s="81" t="s">
        <v>13</v>
      </c>
      <c r="D54" s="45">
        <f>E54+M54</f>
        <v>267112</v>
      </c>
      <c r="E54" s="46">
        <f>F54+I54+J54+K54+L54</f>
        <v>267112</v>
      </c>
      <c r="F54" s="46">
        <f>G54+H54</f>
        <v>0</v>
      </c>
      <c r="G54" s="46">
        <v>0</v>
      </c>
      <c r="H54" s="46">
        <v>0</v>
      </c>
      <c r="I54" s="46">
        <v>0</v>
      </c>
      <c r="J54" s="46">
        <v>0</v>
      </c>
      <c r="K54" s="46">
        <v>267112</v>
      </c>
      <c r="L54" s="46">
        <v>0</v>
      </c>
      <c r="M54" s="46">
        <f>N54+P54</f>
        <v>0</v>
      </c>
      <c r="N54" s="46">
        <v>0</v>
      </c>
      <c r="O54" s="46">
        <v>0</v>
      </c>
      <c r="P54" s="46">
        <v>0</v>
      </c>
      <c r="Q54" s="56"/>
      <c r="R54" s="56"/>
      <c r="S54" s="32"/>
      <c r="T54" s="32"/>
      <c r="U54" s="32"/>
    </row>
    <row r="55" spans="1:21" s="26" customFormat="1" ht="13.5" customHeight="1">
      <c r="A55" s="893"/>
      <c r="B55" s="899"/>
      <c r="C55" s="81" t="s">
        <v>14</v>
      </c>
      <c r="D55" s="45">
        <f>E55+M55</f>
        <v>80888</v>
      </c>
      <c r="E55" s="46">
        <f>F55+I55+J55+K55+L55</f>
        <v>80888</v>
      </c>
      <c r="F55" s="46">
        <f>G55+H55</f>
        <v>0</v>
      </c>
      <c r="G55" s="46"/>
      <c r="H55" s="46"/>
      <c r="I55" s="46"/>
      <c r="J55" s="46"/>
      <c r="K55" s="46">
        <v>80888</v>
      </c>
      <c r="L55" s="46"/>
      <c r="M55" s="46">
        <f>N55+P55</f>
        <v>0</v>
      </c>
      <c r="N55" s="46"/>
      <c r="O55" s="46"/>
      <c r="P55" s="46"/>
      <c r="Q55" s="56"/>
      <c r="R55" s="56"/>
      <c r="S55" s="32"/>
      <c r="T55" s="32"/>
      <c r="U55" s="32"/>
    </row>
    <row r="56" spans="1:21" s="26" customFormat="1" ht="13.5" customHeight="1">
      <c r="A56" s="894"/>
      <c r="B56" s="900"/>
      <c r="C56" s="81" t="s">
        <v>15</v>
      </c>
      <c r="D56" s="45">
        <f>D54+D55</f>
        <v>348000</v>
      </c>
      <c r="E56" s="46">
        <f t="shared" ref="E56:P56" si="19">E54+E55</f>
        <v>348000</v>
      </c>
      <c r="F56" s="46">
        <f t="shared" si="19"/>
        <v>0</v>
      </c>
      <c r="G56" s="46">
        <f t="shared" si="19"/>
        <v>0</v>
      </c>
      <c r="H56" s="46">
        <f t="shared" si="19"/>
        <v>0</v>
      </c>
      <c r="I56" s="46">
        <f t="shared" si="19"/>
        <v>0</v>
      </c>
      <c r="J56" s="46">
        <f t="shared" si="19"/>
        <v>0</v>
      </c>
      <c r="K56" s="46">
        <f t="shared" si="19"/>
        <v>348000</v>
      </c>
      <c r="L56" s="46">
        <f t="shared" si="19"/>
        <v>0</v>
      </c>
      <c r="M56" s="46">
        <f t="shared" si="19"/>
        <v>0</v>
      </c>
      <c r="N56" s="46">
        <f t="shared" si="19"/>
        <v>0</v>
      </c>
      <c r="O56" s="46">
        <f t="shared" si="19"/>
        <v>0</v>
      </c>
      <c r="P56" s="46">
        <f t="shared" si="19"/>
        <v>0</v>
      </c>
      <c r="Q56" s="56"/>
      <c r="R56" s="56"/>
      <c r="S56" s="32"/>
      <c r="T56" s="32"/>
      <c r="U56" s="32"/>
    </row>
    <row r="57" spans="1:21" s="30" customFormat="1" ht="14.25">
      <c r="A57" s="895" t="s">
        <v>102</v>
      </c>
      <c r="B57" s="880" t="s">
        <v>103</v>
      </c>
      <c r="C57" s="80" t="s">
        <v>13</v>
      </c>
      <c r="D57" s="43">
        <f t="shared" ref="D57:P58" si="20">D60</f>
        <v>7444224</v>
      </c>
      <c r="E57" s="44">
        <f t="shared" si="20"/>
        <v>6133224</v>
      </c>
      <c r="F57" s="44">
        <f t="shared" si="20"/>
        <v>20200</v>
      </c>
      <c r="G57" s="44">
        <f t="shared" si="20"/>
        <v>20200</v>
      </c>
      <c r="H57" s="44">
        <f t="shared" si="20"/>
        <v>0</v>
      </c>
      <c r="I57" s="44">
        <f t="shared" si="20"/>
        <v>0</v>
      </c>
      <c r="J57" s="44">
        <f t="shared" si="20"/>
        <v>0</v>
      </c>
      <c r="K57" s="44">
        <f t="shared" si="20"/>
        <v>6113024</v>
      </c>
      <c r="L57" s="44">
        <f t="shared" si="20"/>
        <v>0</v>
      </c>
      <c r="M57" s="44">
        <f t="shared" si="20"/>
        <v>1311000</v>
      </c>
      <c r="N57" s="44">
        <f t="shared" si="20"/>
        <v>1311000</v>
      </c>
      <c r="O57" s="44">
        <f>O60</f>
        <v>1311000</v>
      </c>
      <c r="P57" s="44">
        <f t="shared" si="20"/>
        <v>0</v>
      </c>
      <c r="Q57" s="70"/>
      <c r="R57" s="70"/>
      <c r="S57" s="36"/>
      <c r="T57" s="36"/>
      <c r="U57" s="36"/>
    </row>
    <row r="58" spans="1:21" s="30" customFormat="1" ht="14.25">
      <c r="A58" s="896"/>
      <c r="B58" s="881"/>
      <c r="C58" s="80" t="s">
        <v>14</v>
      </c>
      <c r="D58" s="43">
        <f t="shared" si="20"/>
        <v>-1627803</v>
      </c>
      <c r="E58" s="44">
        <f t="shared" si="20"/>
        <v>-1110697</v>
      </c>
      <c r="F58" s="44">
        <f t="shared" si="20"/>
        <v>0</v>
      </c>
      <c r="G58" s="44">
        <f t="shared" si="20"/>
        <v>0</v>
      </c>
      <c r="H58" s="44">
        <f t="shared" si="20"/>
        <v>0</v>
      </c>
      <c r="I58" s="44">
        <f t="shared" si="20"/>
        <v>0</v>
      </c>
      <c r="J58" s="44">
        <f t="shared" si="20"/>
        <v>0</v>
      </c>
      <c r="K58" s="44">
        <f t="shared" si="20"/>
        <v>-1110697</v>
      </c>
      <c r="L58" s="44">
        <f t="shared" si="20"/>
        <v>0</v>
      </c>
      <c r="M58" s="44">
        <f t="shared" si="20"/>
        <v>-517106</v>
      </c>
      <c r="N58" s="44">
        <f t="shared" si="20"/>
        <v>-517106</v>
      </c>
      <c r="O58" s="44">
        <f t="shared" si="20"/>
        <v>-769300</v>
      </c>
      <c r="P58" s="44">
        <f t="shared" si="20"/>
        <v>0</v>
      </c>
      <c r="Q58" s="70"/>
      <c r="R58" s="70"/>
      <c r="S58" s="36"/>
      <c r="T58" s="36"/>
      <c r="U58" s="36"/>
    </row>
    <row r="59" spans="1:21" s="30" customFormat="1" ht="14.25">
      <c r="A59" s="897"/>
      <c r="B59" s="882"/>
      <c r="C59" s="80" t="s">
        <v>15</v>
      </c>
      <c r="D59" s="43">
        <f>D57+D58</f>
        <v>5816421</v>
      </c>
      <c r="E59" s="44">
        <f t="shared" ref="E59:P59" si="21">E57+E58</f>
        <v>5022527</v>
      </c>
      <c r="F59" s="44">
        <f t="shared" si="21"/>
        <v>20200</v>
      </c>
      <c r="G59" s="44">
        <f t="shared" si="21"/>
        <v>20200</v>
      </c>
      <c r="H59" s="44">
        <f t="shared" si="21"/>
        <v>0</v>
      </c>
      <c r="I59" s="44">
        <f t="shared" si="21"/>
        <v>0</v>
      </c>
      <c r="J59" s="44">
        <f t="shared" si="21"/>
        <v>0</v>
      </c>
      <c r="K59" s="44">
        <f t="shared" si="21"/>
        <v>5002327</v>
      </c>
      <c r="L59" s="44">
        <f t="shared" si="21"/>
        <v>0</v>
      </c>
      <c r="M59" s="44">
        <f t="shared" si="21"/>
        <v>793894</v>
      </c>
      <c r="N59" s="44">
        <f t="shared" si="21"/>
        <v>793894</v>
      </c>
      <c r="O59" s="44">
        <f t="shared" si="21"/>
        <v>541700</v>
      </c>
      <c r="P59" s="44">
        <f t="shared" si="21"/>
        <v>0</v>
      </c>
      <c r="Q59" s="70"/>
      <c r="R59" s="70"/>
      <c r="S59" s="36"/>
      <c r="T59" s="36"/>
      <c r="U59" s="36"/>
    </row>
    <row r="60" spans="1:21" s="29" customFormat="1" ht="13.5" customHeight="1">
      <c r="A60" s="892" t="s">
        <v>104</v>
      </c>
      <c r="B60" s="888" t="s">
        <v>105</v>
      </c>
      <c r="C60" s="81" t="s">
        <v>13</v>
      </c>
      <c r="D60" s="45">
        <f>E60+M60</f>
        <v>7444224</v>
      </c>
      <c r="E60" s="46">
        <f>F60+I60+J60+K60+L60</f>
        <v>6133224</v>
      </c>
      <c r="F60" s="46">
        <f>G60+H60</f>
        <v>20200</v>
      </c>
      <c r="G60" s="46">
        <v>20200</v>
      </c>
      <c r="H60" s="46">
        <v>0</v>
      </c>
      <c r="I60" s="46">
        <v>0</v>
      </c>
      <c r="J60" s="46">
        <v>0</v>
      </c>
      <c r="K60" s="46">
        <f>416102+73430+89073+15718+12688+2239+8500+1500+85356+15063+426+75+4537218+800685+42500+7500+4208+743</f>
        <v>6113024</v>
      </c>
      <c r="L60" s="46">
        <v>0</v>
      </c>
      <c r="M60" s="46">
        <f>N60+P60</f>
        <v>1311000</v>
      </c>
      <c r="N60" s="46">
        <v>1311000</v>
      </c>
      <c r="O60" s="46">
        <f>1114350+196650</f>
        <v>1311000</v>
      </c>
      <c r="P60" s="46">
        <v>0</v>
      </c>
      <c r="Q60" s="71"/>
      <c r="R60" s="71"/>
      <c r="S60" s="35"/>
      <c r="T60" s="35"/>
      <c r="U60" s="35"/>
    </row>
    <row r="61" spans="1:21" s="29" customFormat="1" ht="13.5" customHeight="1">
      <c r="A61" s="893"/>
      <c r="B61" s="889"/>
      <c r="C61" s="81" t="s">
        <v>14</v>
      </c>
      <c r="D61" s="45">
        <f>E61+M61</f>
        <v>-1627803</v>
      </c>
      <c r="E61" s="46">
        <f>F61+I61+J61+K61+L61</f>
        <v>-1110697</v>
      </c>
      <c r="F61" s="46">
        <f>G61+H61</f>
        <v>0</v>
      </c>
      <c r="G61" s="46"/>
      <c r="H61" s="46"/>
      <c r="I61" s="46"/>
      <c r="J61" s="46"/>
      <c r="K61" s="46">
        <f>-95760-16899-20499-3617-2920-515-37512-6620-829902-146453+42500+7500</f>
        <v>-1110697</v>
      </c>
      <c r="L61" s="46"/>
      <c r="M61" s="46">
        <f>N61+P61</f>
        <v>-517106</v>
      </c>
      <c r="N61" s="46">
        <f>252194-653905-115395</f>
        <v>-517106</v>
      </c>
      <c r="O61" s="46">
        <f>-653905-115395</f>
        <v>-769300</v>
      </c>
      <c r="P61" s="46"/>
      <c r="Q61" s="71"/>
      <c r="R61" s="71"/>
      <c r="S61" s="35"/>
      <c r="T61" s="35"/>
      <c r="U61" s="35"/>
    </row>
    <row r="62" spans="1:21" s="29" customFormat="1" ht="13.5" customHeight="1">
      <c r="A62" s="894"/>
      <c r="B62" s="890"/>
      <c r="C62" s="81" t="s">
        <v>15</v>
      </c>
      <c r="D62" s="45">
        <f>D60+D61</f>
        <v>5816421</v>
      </c>
      <c r="E62" s="46">
        <f t="shared" ref="E62:P62" si="22">E60+E61</f>
        <v>5022527</v>
      </c>
      <c r="F62" s="46">
        <f t="shared" si="22"/>
        <v>20200</v>
      </c>
      <c r="G62" s="46">
        <f t="shared" si="22"/>
        <v>20200</v>
      </c>
      <c r="H62" s="46">
        <f t="shared" si="22"/>
        <v>0</v>
      </c>
      <c r="I62" s="46">
        <f t="shared" si="22"/>
        <v>0</v>
      </c>
      <c r="J62" s="46">
        <f t="shared" si="22"/>
        <v>0</v>
      </c>
      <c r="K62" s="46">
        <f t="shared" si="22"/>
        <v>5002327</v>
      </c>
      <c r="L62" s="46">
        <f t="shared" si="22"/>
        <v>0</v>
      </c>
      <c r="M62" s="46">
        <f t="shared" si="22"/>
        <v>793894</v>
      </c>
      <c r="N62" s="46">
        <f t="shared" si="22"/>
        <v>793894</v>
      </c>
      <c r="O62" s="46">
        <f t="shared" si="22"/>
        <v>541700</v>
      </c>
      <c r="P62" s="46">
        <f t="shared" si="22"/>
        <v>0</v>
      </c>
      <c r="Q62" s="71"/>
      <c r="R62" s="71"/>
      <c r="S62" s="35"/>
      <c r="T62" s="35"/>
      <c r="U62" s="35"/>
    </row>
    <row r="63" spans="1:21" s="28" customFormat="1" ht="14.25">
      <c r="A63" s="895" t="s">
        <v>19</v>
      </c>
      <c r="B63" s="880" t="s">
        <v>20</v>
      </c>
      <c r="C63" s="80" t="s">
        <v>13</v>
      </c>
      <c r="D63" s="43">
        <f>D66+D69+D72+D78+D87+D81+D75+D84</f>
        <v>463514659</v>
      </c>
      <c r="E63" s="44">
        <f>E66+E69+E72+E78+E87+E81+E75+E84</f>
        <v>187840176</v>
      </c>
      <c r="F63" s="44">
        <f t="shared" ref="F63:P63" si="23">F66+F69+F72+F78+F87+F81+F75+F84</f>
        <v>51967926</v>
      </c>
      <c r="G63" s="44">
        <f t="shared" si="23"/>
        <v>14273396</v>
      </c>
      <c r="H63" s="44">
        <f t="shared" si="23"/>
        <v>37694530</v>
      </c>
      <c r="I63" s="44">
        <f t="shared" si="23"/>
        <v>133949667</v>
      </c>
      <c r="J63" s="44">
        <f t="shared" si="23"/>
        <v>79000</v>
      </c>
      <c r="K63" s="44">
        <f t="shared" si="23"/>
        <v>1843583</v>
      </c>
      <c r="L63" s="44">
        <f t="shared" si="23"/>
        <v>0</v>
      </c>
      <c r="M63" s="44">
        <f t="shared" si="23"/>
        <v>275674483</v>
      </c>
      <c r="N63" s="44">
        <f t="shared" si="23"/>
        <v>275674483</v>
      </c>
      <c r="O63" s="44">
        <f>O66+O69+O72+O78+O87+O81+O75+O84</f>
        <v>194730369</v>
      </c>
      <c r="P63" s="44">
        <f t="shared" si="23"/>
        <v>0</v>
      </c>
      <c r="Q63" s="69"/>
      <c r="R63" s="69"/>
      <c r="S63" s="34"/>
      <c r="T63" s="34"/>
      <c r="U63" s="34"/>
    </row>
    <row r="64" spans="1:21" s="28" customFormat="1" ht="14.25">
      <c r="A64" s="896"/>
      <c r="B64" s="881"/>
      <c r="C64" s="80" t="s">
        <v>14</v>
      </c>
      <c r="D64" s="43">
        <f>D67+D70+D73+D79+D88+D82+D76+D85</f>
        <v>64794962</v>
      </c>
      <c r="E64" s="44">
        <f t="shared" ref="E64:P64" si="24">E67+E70+E73+E79+E88+E82+E76+E85</f>
        <v>19072151</v>
      </c>
      <c r="F64" s="44">
        <f t="shared" si="24"/>
        <v>6732918</v>
      </c>
      <c r="G64" s="44">
        <f t="shared" si="24"/>
        <v>0</v>
      </c>
      <c r="H64" s="44">
        <f t="shared" si="24"/>
        <v>6732918</v>
      </c>
      <c r="I64" s="44">
        <f t="shared" si="24"/>
        <v>12459461</v>
      </c>
      <c r="J64" s="44">
        <f t="shared" si="24"/>
        <v>0</v>
      </c>
      <c r="K64" s="44">
        <f t="shared" si="24"/>
        <v>-120228</v>
      </c>
      <c r="L64" s="44">
        <f t="shared" si="24"/>
        <v>0</v>
      </c>
      <c r="M64" s="44">
        <f t="shared" si="24"/>
        <v>45722811</v>
      </c>
      <c r="N64" s="44">
        <f t="shared" si="24"/>
        <v>45672811</v>
      </c>
      <c r="O64" s="44">
        <f t="shared" si="24"/>
        <v>1417475</v>
      </c>
      <c r="P64" s="44">
        <f t="shared" si="24"/>
        <v>50000</v>
      </c>
      <c r="Q64" s="69"/>
      <c r="R64" s="69"/>
      <c r="S64" s="34"/>
      <c r="T64" s="34"/>
      <c r="U64" s="34"/>
    </row>
    <row r="65" spans="1:21" s="28" customFormat="1" ht="14.25">
      <c r="A65" s="897"/>
      <c r="B65" s="882"/>
      <c r="C65" s="80" t="s">
        <v>15</v>
      </c>
      <c r="D65" s="43">
        <f>D63+D64</f>
        <v>528309621</v>
      </c>
      <c r="E65" s="44">
        <f t="shared" ref="E65:P65" si="25">E63+E64</f>
        <v>206912327</v>
      </c>
      <c r="F65" s="44">
        <f t="shared" si="25"/>
        <v>58700844</v>
      </c>
      <c r="G65" s="44">
        <f t="shared" si="25"/>
        <v>14273396</v>
      </c>
      <c r="H65" s="44">
        <f t="shared" si="25"/>
        <v>44427448</v>
      </c>
      <c r="I65" s="44">
        <f t="shared" si="25"/>
        <v>146409128</v>
      </c>
      <c r="J65" s="44">
        <f t="shared" si="25"/>
        <v>79000</v>
      </c>
      <c r="K65" s="44">
        <f t="shared" si="25"/>
        <v>1723355</v>
      </c>
      <c r="L65" s="44">
        <f t="shared" si="25"/>
        <v>0</v>
      </c>
      <c r="M65" s="44">
        <f t="shared" si="25"/>
        <v>321397294</v>
      </c>
      <c r="N65" s="44">
        <f t="shared" si="25"/>
        <v>321347294</v>
      </c>
      <c r="O65" s="44">
        <f t="shared" si="25"/>
        <v>196147844</v>
      </c>
      <c r="P65" s="44">
        <f t="shared" si="25"/>
        <v>50000</v>
      </c>
      <c r="Q65" s="69"/>
      <c r="R65" s="69"/>
      <c r="S65" s="34"/>
      <c r="T65" s="34"/>
      <c r="U65" s="34"/>
    </row>
    <row r="66" spans="1:21" s="26" customFormat="1" ht="13.5" customHeight="1">
      <c r="A66" s="892" t="s">
        <v>106</v>
      </c>
      <c r="B66" s="888" t="s">
        <v>107</v>
      </c>
      <c r="C66" s="81" t="s">
        <v>13</v>
      </c>
      <c r="D66" s="45">
        <f t="shared" ref="D66:D88" si="26">E66+M66</f>
        <v>90995539</v>
      </c>
      <c r="E66" s="46">
        <f t="shared" ref="E66:E88" si="27">F66+I66+J66+K66+L66</f>
        <v>90995539</v>
      </c>
      <c r="F66" s="46">
        <f t="shared" ref="F66:F88" si="28">G66+H66</f>
        <v>6955000</v>
      </c>
      <c r="G66" s="46">
        <v>0</v>
      </c>
      <c r="H66" s="46">
        <v>6955000</v>
      </c>
      <c r="I66" s="46">
        <v>84040539</v>
      </c>
      <c r="J66" s="46">
        <v>0</v>
      </c>
      <c r="K66" s="46">
        <v>0</v>
      </c>
      <c r="L66" s="46">
        <v>0</v>
      </c>
      <c r="M66" s="46">
        <f>N66+P66</f>
        <v>0</v>
      </c>
      <c r="N66" s="46">
        <v>0</v>
      </c>
      <c r="O66" s="46">
        <v>0</v>
      </c>
      <c r="P66" s="46">
        <v>0</v>
      </c>
      <c r="Q66" s="56"/>
      <c r="R66" s="56"/>
      <c r="S66" s="32"/>
      <c r="T66" s="32"/>
      <c r="U66" s="32"/>
    </row>
    <row r="67" spans="1:21" s="26" customFormat="1" ht="13.5" customHeight="1">
      <c r="A67" s="893"/>
      <c r="B67" s="889"/>
      <c r="C67" s="81" t="s">
        <v>14</v>
      </c>
      <c r="D67" s="45">
        <f t="shared" si="26"/>
        <v>23529461</v>
      </c>
      <c r="E67" s="46">
        <f t="shared" si="27"/>
        <v>12459461</v>
      </c>
      <c r="F67" s="46">
        <f t="shared" si="28"/>
        <v>0</v>
      </c>
      <c r="G67" s="46"/>
      <c r="H67" s="46"/>
      <c r="I67" s="46">
        <v>12459461</v>
      </c>
      <c r="J67" s="46"/>
      <c r="K67" s="46"/>
      <c r="L67" s="46"/>
      <c r="M67" s="46">
        <f>N67+P67</f>
        <v>11070000</v>
      </c>
      <c r="N67" s="46">
        <v>11070000</v>
      </c>
      <c r="O67" s="46"/>
      <c r="P67" s="46"/>
      <c r="Q67" s="56"/>
      <c r="R67" s="56"/>
      <c r="S67" s="32"/>
      <c r="T67" s="32"/>
      <c r="U67" s="32"/>
    </row>
    <row r="68" spans="1:21" s="26" customFormat="1" ht="13.15" customHeight="1">
      <c r="A68" s="894"/>
      <c r="B68" s="890"/>
      <c r="C68" s="81" t="s">
        <v>15</v>
      </c>
      <c r="D68" s="45">
        <f>D66+D67</f>
        <v>114525000</v>
      </c>
      <c r="E68" s="46">
        <f t="shared" ref="E68:P68" si="29">E66+E67</f>
        <v>103455000</v>
      </c>
      <c r="F68" s="46">
        <f t="shared" si="29"/>
        <v>6955000</v>
      </c>
      <c r="G68" s="46">
        <f t="shared" si="29"/>
        <v>0</v>
      </c>
      <c r="H68" s="46">
        <f t="shared" si="29"/>
        <v>6955000</v>
      </c>
      <c r="I68" s="46">
        <f t="shared" si="29"/>
        <v>96500000</v>
      </c>
      <c r="J68" s="46">
        <f t="shared" si="29"/>
        <v>0</v>
      </c>
      <c r="K68" s="46">
        <f t="shared" si="29"/>
        <v>0</v>
      </c>
      <c r="L68" s="46">
        <f t="shared" si="29"/>
        <v>0</v>
      </c>
      <c r="M68" s="46">
        <f t="shared" si="29"/>
        <v>11070000</v>
      </c>
      <c r="N68" s="46">
        <f t="shared" si="29"/>
        <v>11070000</v>
      </c>
      <c r="O68" s="46">
        <f t="shared" si="29"/>
        <v>0</v>
      </c>
      <c r="P68" s="46">
        <f t="shared" si="29"/>
        <v>0</v>
      </c>
      <c r="Q68" s="56"/>
      <c r="R68" s="56"/>
      <c r="S68" s="32"/>
      <c r="T68" s="32"/>
      <c r="U68" s="32"/>
    </row>
    <row r="69" spans="1:21" s="26" customFormat="1" ht="13.5" customHeight="1">
      <c r="A69" s="892" t="s">
        <v>108</v>
      </c>
      <c r="B69" s="888" t="s">
        <v>109</v>
      </c>
      <c r="C69" s="81" t="s">
        <v>13</v>
      </c>
      <c r="D69" s="45">
        <f t="shared" si="26"/>
        <v>999983</v>
      </c>
      <c r="E69" s="46">
        <f t="shared" si="27"/>
        <v>20040</v>
      </c>
      <c r="F69" s="46">
        <f t="shared" si="28"/>
        <v>0</v>
      </c>
      <c r="G69" s="46">
        <v>0</v>
      </c>
      <c r="H69" s="46">
        <v>0</v>
      </c>
      <c r="I69" s="46">
        <v>0</v>
      </c>
      <c r="J69" s="46">
        <v>0</v>
      </c>
      <c r="K69" s="46">
        <f>999983-832952-146991</f>
        <v>20040</v>
      </c>
      <c r="L69" s="46">
        <v>0</v>
      </c>
      <c r="M69" s="46">
        <f t="shared" ref="M69:M88" si="30">N69+P69</f>
        <v>979943</v>
      </c>
      <c r="N69" s="46">
        <v>979943</v>
      </c>
      <c r="O69" s="46">
        <v>979943</v>
      </c>
      <c r="P69" s="46">
        <v>0</v>
      </c>
      <c r="Q69" s="56"/>
      <c r="R69" s="56"/>
      <c r="S69" s="32"/>
      <c r="T69" s="32"/>
      <c r="U69" s="32"/>
    </row>
    <row r="70" spans="1:21" s="26" customFormat="1" ht="13.5" customHeight="1">
      <c r="A70" s="893"/>
      <c r="B70" s="889"/>
      <c r="C70" s="81" t="s">
        <v>14</v>
      </c>
      <c r="D70" s="45">
        <f t="shared" si="26"/>
        <v>200000</v>
      </c>
      <c r="E70" s="46">
        <f t="shared" si="27"/>
        <v>0</v>
      </c>
      <c r="F70" s="46">
        <f t="shared" si="28"/>
        <v>0</v>
      </c>
      <c r="G70" s="46"/>
      <c r="H70" s="46"/>
      <c r="I70" s="46"/>
      <c r="J70" s="46"/>
      <c r="K70" s="46"/>
      <c r="L70" s="46"/>
      <c r="M70" s="46">
        <f t="shared" si="30"/>
        <v>200000</v>
      </c>
      <c r="N70" s="46">
        <v>200000</v>
      </c>
      <c r="O70" s="46"/>
      <c r="P70" s="46"/>
      <c r="Q70" s="56"/>
      <c r="R70" s="56"/>
      <c r="S70" s="32"/>
      <c r="T70" s="32"/>
      <c r="U70" s="32"/>
    </row>
    <row r="71" spans="1:21" s="26" customFormat="1" ht="13.5" customHeight="1">
      <c r="A71" s="894"/>
      <c r="B71" s="890"/>
      <c r="C71" s="81" t="s">
        <v>15</v>
      </c>
      <c r="D71" s="45">
        <f>D69+D70</f>
        <v>1199983</v>
      </c>
      <c r="E71" s="46">
        <f t="shared" ref="E71:P71" si="31">E69+E70</f>
        <v>20040</v>
      </c>
      <c r="F71" s="46">
        <f t="shared" si="31"/>
        <v>0</v>
      </c>
      <c r="G71" s="46">
        <f t="shared" si="31"/>
        <v>0</v>
      </c>
      <c r="H71" s="46">
        <f t="shared" si="31"/>
        <v>0</v>
      </c>
      <c r="I71" s="46">
        <f t="shared" si="31"/>
        <v>0</v>
      </c>
      <c r="J71" s="46">
        <f t="shared" si="31"/>
        <v>0</v>
      </c>
      <c r="K71" s="46">
        <f t="shared" si="31"/>
        <v>20040</v>
      </c>
      <c r="L71" s="46">
        <f t="shared" si="31"/>
        <v>0</v>
      </c>
      <c r="M71" s="46">
        <f t="shared" si="31"/>
        <v>1179943</v>
      </c>
      <c r="N71" s="46">
        <f t="shared" si="31"/>
        <v>1179943</v>
      </c>
      <c r="O71" s="46">
        <f t="shared" si="31"/>
        <v>979943</v>
      </c>
      <c r="P71" s="46">
        <f t="shared" si="31"/>
        <v>0</v>
      </c>
      <c r="Q71" s="56"/>
      <c r="R71" s="56"/>
      <c r="S71" s="32"/>
      <c r="T71" s="32"/>
      <c r="U71" s="32"/>
    </row>
    <row r="72" spans="1:21" s="26" customFormat="1" ht="13.5" hidden="1" customHeight="1">
      <c r="A72" s="892" t="s">
        <v>48</v>
      </c>
      <c r="B72" s="888" t="s">
        <v>49</v>
      </c>
      <c r="C72" s="81" t="s">
        <v>13</v>
      </c>
      <c r="D72" s="45">
        <f t="shared" si="26"/>
        <v>35067666</v>
      </c>
      <c r="E72" s="46">
        <f t="shared" si="27"/>
        <v>35067666</v>
      </c>
      <c r="F72" s="46">
        <f t="shared" si="28"/>
        <v>1836</v>
      </c>
      <c r="G72" s="46">
        <v>0</v>
      </c>
      <c r="H72" s="46">
        <v>1836</v>
      </c>
      <c r="I72" s="46">
        <v>35065830</v>
      </c>
      <c r="J72" s="46">
        <v>0</v>
      </c>
      <c r="K72" s="46">
        <v>0</v>
      </c>
      <c r="L72" s="46">
        <v>0</v>
      </c>
      <c r="M72" s="46">
        <f t="shared" si="30"/>
        <v>0</v>
      </c>
      <c r="N72" s="46">
        <v>0</v>
      </c>
      <c r="O72" s="46">
        <v>0</v>
      </c>
      <c r="P72" s="46">
        <v>0</v>
      </c>
      <c r="Q72" s="56"/>
      <c r="R72" s="56"/>
      <c r="S72" s="32"/>
      <c r="T72" s="32"/>
      <c r="U72" s="32"/>
    </row>
    <row r="73" spans="1:21" s="26" customFormat="1" ht="13.5" hidden="1" customHeight="1">
      <c r="A73" s="893"/>
      <c r="B73" s="889"/>
      <c r="C73" s="81" t="s">
        <v>14</v>
      </c>
      <c r="D73" s="45">
        <f t="shared" si="26"/>
        <v>0</v>
      </c>
      <c r="E73" s="46">
        <f t="shared" si="27"/>
        <v>0</v>
      </c>
      <c r="F73" s="46">
        <f t="shared" si="28"/>
        <v>0</v>
      </c>
      <c r="G73" s="46"/>
      <c r="H73" s="46"/>
      <c r="I73" s="46"/>
      <c r="J73" s="46"/>
      <c r="K73" s="46"/>
      <c r="L73" s="46"/>
      <c r="M73" s="46">
        <f t="shared" si="30"/>
        <v>0</v>
      </c>
      <c r="N73" s="46"/>
      <c r="O73" s="46"/>
      <c r="P73" s="46"/>
      <c r="Q73" s="56"/>
      <c r="R73" s="56"/>
      <c r="S73" s="32"/>
      <c r="T73" s="32"/>
      <c r="U73" s="32"/>
    </row>
    <row r="74" spans="1:21" s="26" customFormat="1" ht="13.5" hidden="1" customHeight="1">
      <c r="A74" s="894"/>
      <c r="B74" s="890"/>
      <c r="C74" s="81" t="s">
        <v>15</v>
      </c>
      <c r="D74" s="45">
        <f>D72+D73</f>
        <v>35067666</v>
      </c>
      <c r="E74" s="46">
        <f t="shared" ref="E74:P74" si="32">E72+E73</f>
        <v>35067666</v>
      </c>
      <c r="F74" s="46">
        <f t="shared" si="32"/>
        <v>1836</v>
      </c>
      <c r="G74" s="46">
        <f t="shared" si="32"/>
        <v>0</v>
      </c>
      <c r="H74" s="46">
        <f t="shared" si="32"/>
        <v>1836</v>
      </c>
      <c r="I74" s="46">
        <f t="shared" si="32"/>
        <v>35065830</v>
      </c>
      <c r="J74" s="46">
        <f t="shared" si="32"/>
        <v>0</v>
      </c>
      <c r="K74" s="46">
        <f t="shared" si="32"/>
        <v>0</v>
      </c>
      <c r="L74" s="46">
        <f t="shared" si="32"/>
        <v>0</v>
      </c>
      <c r="M74" s="46">
        <f t="shared" si="32"/>
        <v>0</v>
      </c>
      <c r="N74" s="46">
        <f t="shared" si="32"/>
        <v>0</v>
      </c>
      <c r="O74" s="46">
        <f t="shared" si="32"/>
        <v>0</v>
      </c>
      <c r="P74" s="46">
        <f t="shared" si="32"/>
        <v>0</v>
      </c>
      <c r="Q74" s="56"/>
      <c r="R74" s="56"/>
      <c r="S74" s="32"/>
      <c r="T74" s="32"/>
      <c r="U74" s="32"/>
    </row>
    <row r="75" spans="1:21" s="26" customFormat="1" ht="13.5" hidden="1" customHeight="1">
      <c r="A75" s="913">
        <v>60004</v>
      </c>
      <c r="B75" s="888" t="s">
        <v>197</v>
      </c>
      <c r="C75" s="81" t="s">
        <v>13</v>
      </c>
      <c r="D75" s="45">
        <f t="shared" si="26"/>
        <v>14793298</v>
      </c>
      <c r="E75" s="46">
        <f t="shared" si="27"/>
        <v>14793298</v>
      </c>
      <c r="F75" s="46">
        <f t="shared" si="28"/>
        <v>0</v>
      </c>
      <c r="G75" s="46">
        <v>0</v>
      </c>
      <c r="H75" s="46">
        <v>0</v>
      </c>
      <c r="I75" s="46">
        <v>14793298</v>
      </c>
      <c r="J75" s="46">
        <v>0</v>
      </c>
      <c r="K75" s="46">
        <v>0</v>
      </c>
      <c r="L75" s="46">
        <v>0</v>
      </c>
      <c r="M75" s="46">
        <f t="shared" si="30"/>
        <v>0</v>
      </c>
      <c r="N75" s="46">
        <v>0</v>
      </c>
      <c r="O75" s="46">
        <v>0</v>
      </c>
      <c r="P75" s="46">
        <v>0</v>
      </c>
      <c r="Q75" s="56"/>
      <c r="R75" s="56"/>
      <c r="S75" s="32"/>
      <c r="T75" s="32"/>
      <c r="U75" s="32"/>
    </row>
    <row r="76" spans="1:21" s="26" customFormat="1" ht="13.5" hidden="1" customHeight="1">
      <c r="A76" s="914"/>
      <c r="B76" s="889"/>
      <c r="C76" s="81" t="s">
        <v>14</v>
      </c>
      <c r="D76" s="45">
        <f t="shared" si="26"/>
        <v>0</v>
      </c>
      <c r="E76" s="46">
        <f t="shared" si="27"/>
        <v>0</v>
      </c>
      <c r="F76" s="46">
        <f t="shared" si="28"/>
        <v>0</v>
      </c>
      <c r="G76" s="46"/>
      <c r="H76" s="46"/>
      <c r="I76" s="46"/>
      <c r="J76" s="46"/>
      <c r="K76" s="46"/>
      <c r="L76" s="46"/>
      <c r="M76" s="46">
        <f t="shared" si="30"/>
        <v>0</v>
      </c>
      <c r="N76" s="46"/>
      <c r="O76" s="46"/>
      <c r="P76" s="46"/>
      <c r="Q76" s="56"/>
      <c r="R76" s="56"/>
      <c r="S76" s="32"/>
      <c r="T76" s="32"/>
      <c r="U76" s="32"/>
    </row>
    <row r="77" spans="1:21" s="26" customFormat="1" ht="13.5" hidden="1" customHeight="1">
      <c r="A77" s="915"/>
      <c r="B77" s="890"/>
      <c r="C77" s="81" t="s">
        <v>15</v>
      </c>
      <c r="D77" s="45">
        <f>D75+D76</f>
        <v>14793298</v>
      </c>
      <c r="E77" s="46">
        <f t="shared" ref="E77:P77" si="33">E75+E76</f>
        <v>14793298</v>
      </c>
      <c r="F77" s="46">
        <f t="shared" si="33"/>
        <v>0</v>
      </c>
      <c r="G77" s="46">
        <f t="shared" si="33"/>
        <v>0</v>
      </c>
      <c r="H77" s="46">
        <f t="shared" si="33"/>
        <v>0</v>
      </c>
      <c r="I77" s="46">
        <f t="shared" si="33"/>
        <v>14793298</v>
      </c>
      <c r="J77" s="46">
        <f t="shared" si="33"/>
        <v>0</v>
      </c>
      <c r="K77" s="46">
        <f t="shared" si="33"/>
        <v>0</v>
      </c>
      <c r="L77" s="46">
        <f t="shared" si="33"/>
        <v>0</v>
      </c>
      <c r="M77" s="46">
        <f t="shared" si="33"/>
        <v>0</v>
      </c>
      <c r="N77" s="46">
        <f t="shared" si="33"/>
        <v>0</v>
      </c>
      <c r="O77" s="46">
        <f t="shared" si="33"/>
        <v>0</v>
      </c>
      <c r="P77" s="46">
        <f t="shared" si="33"/>
        <v>0</v>
      </c>
      <c r="Q77" s="56"/>
      <c r="R77" s="56"/>
      <c r="S77" s="32"/>
      <c r="T77" s="32"/>
      <c r="U77" s="32"/>
    </row>
    <row r="78" spans="1:21" s="26" customFormat="1" ht="13.5" customHeight="1">
      <c r="A78" s="892" t="s">
        <v>21</v>
      </c>
      <c r="B78" s="888" t="s">
        <v>110</v>
      </c>
      <c r="C78" s="81" t="s">
        <v>13</v>
      </c>
      <c r="D78" s="45">
        <f t="shared" si="26"/>
        <v>315586690</v>
      </c>
      <c r="E78" s="46">
        <f t="shared" si="27"/>
        <v>46017352</v>
      </c>
      <c r="F78" s="46">
        <f t="shared" si="28"/>
        <v>44686090</v>
      </c>
      <c r="G78" s="46">
        <v>14105199</v>
      </c>
      <c r="H78" s="46">
        <f>155000+3705000+10000+550000+10531370+20380+13308870+123500+226260+560+7000+840000+277239+88252+779+4000+692681+40000</f>
        <v>30580891</v>
      </c>
      <c r="I78" s="46">
        <v>0</v>
      </c>
      <c r="J78" s="46">
        <v>79000</v>
      </c>
      <c r="K78" s="46">
        <f>703238+254204+9384+2596+124298+44576+17381+6275+70527+19783</f>
        <v>1252262</v>
      </c>
      <c r="L78" s="46">
        <v>0</v>
      </c>
      <c r="M78" s="46">
        <f t="shared" si="30"/>
        <v>269569338</v>
      </c>
      <c r="N78" s="46">
        <v>269569338</v>
      </c>
      <c r="O78" s="46">
        <v>193750426</v>
      </c>
      <c r="P78" s="46">
        <v>0</v>
      </c>
      <c r="Q78" s="56"/>
      <c r="R78" s="56"/>
      <c r="S78" s="32"/>
      <c r="T78" s="32"/>
      <c r="U78" s="32"/>
    </row>
    <row r="79" spans="1:21" s="26" customFormat="1" ht="13.5" customHeight="1">
      <c r="A79" s="893"/>
      <c r="B79" s="889"/>
      <c r="C79" s="81" t="s">
        <v>14</v>
      </c>
      <c r="D79" s="45">
        <f t="shared" si="26"/>
        <v>41037279</v>
      </c>
      <c r="E79" s="46">
        <f t="shared" si="27"/>
        <v>6640482</v>
      </c>
      <c r="F79" s="46">
        <f t="shared" si="28"/>
        <v>6732918</v>
      </c>
      <c r="G79" s="46"/>
      <c r="H79" s="46">
        <f>1066210+3100270+2559538+2400+4500</f>
        <v>6732918</v>
      </c>
      <c r="I79" s="46"/>
      <c r="J79" s="46"/>
      <c r="K79" s="46">
        <f>-31234-38330-3454-1432-5046-6342-848-974-2931-1845</f>
        <v>-92436</v>
      </c>
      <c r="L79" s="46"/>
      <c r="M79" s="46">
        <f t="shared" si="30"/>
        <v>34396797</v>
      </c>
      <c r="N79" s="46">
        <f>31079322+1212598+99524+1900000+50666+54687</f>
        <v>34396797</v>
      </c>
      <c r="O79" s="46">
        <f>1212598+99524+50666+54687</f>
        <v>1417475</v>
      </c>
      <c r="P79" s="46"/>
      <c r="Q79" s="56"/>
      <c r="R79" s="56"/>
      <c r="S79" s="32"/>
      <c r="T79" s="32"/>
      <c r="U79" s="32"/>
    </row>
    <row r="80" spans="1:21" s="26" customFormat="1" ht="13.5" customHeight="1">
      <c r="A80" s="894"/>
      <c r="B80" s="890"/>
      <c r="C80" s="81" t="s">
        <v>15</v>
      </c>
      <c r="D80" s="45">
        <f>D78+D79</f>
        <v>356623969</v>
      </c>
      <c r="E80" s="46">
        <f t="shared" ref="E80:P80" si="34">E78+E79</f>
        <v>52657834</v>
      </c>
      <c r="F80" s="46">
        <f t="shared" si="34"/>
        <v>51419008</v>
      </c>
      <c r="G80" s="46">
        <f t="shared" si="34"/>
        <v>14105199</v>
      </c>
      <c r="H80" s="46">
        <f t="shared" si="34"/>
        <v>37313809</v>
      </c>
      <c r="I80" s="46">
        <f t="shared" si="34"/>
        <v>0</v>
      </c>
      <c r="J80" s="46">
        <f t="shared" si="34"/>
        <v>79000</v>
      </c>
      <c r="K80" s="46">
        <f t="shared" si="34"/>
        <v>1159826</v>
      </c>
      <c r="L80" s="46">
        <f t="shared" si="34"/>
        <v>0</v>
      </c>
      <c r="M80" s="46">
        <f t="shared" si="34"/>
        <v>303966135</v>
      </c>
      <c r="N80" s="46">
        <f t="shared" si="34"/>
        <v>303966135</v>
      </c>
      <c r="O80" s="46">
        <f t="shared" si="34"/>
        <v>195167901</v>
      </c>
      <c r="P80" s="46">
        <f t="shared" si="34"/>
        <v>0</v>
      </c>
      <c r="Q80" s="56"/>
      <c r="R80" s="56"/>
      <c r="S80" s="32"/>
      <c r="T80" s="32"/>
      <c r="U80" s="32"/>
    </row>
    <row r="81" spans="1:21" s="26" customFormat="1" ht="13.5" hidden="1" customHeight="1">
      <c r="A81" s="892" t="s">
        <v>73</v>
      </c>
      <c r="B81" s="888" t="s">
        <v>111</v>
      </c>
      <c r="C81" s="81" t="s">
        <v>13</v>
      </c>
      <c r="D81" s="45">
        <f t="shared" si="26"/>
        <v>4800000</v>
      </c>
      <c r="E81" s="46">
        <f t="shared" si="27"/>
        <v>0</v>
      </c>
      <c r="F81" s="46">
        <f t="shared" si="28"/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f>N81+P81</f>
        <v>4800000</v>
      </c>
      <c r="N81" s="46">
        <v>4800000</v>
      </c>
      <c r="O81" s="46">
        <v>0</v>
      </c>
      <c r="P81" s="46">
        <v>0</v>
      </c>
      <c r="Q81" s="56"/>
      <c r="R81" s="56"/>
      <c r="S81" s="32"/>
      <c r="T81" s="32"/>
      <c r="U81" s="32"/>
    </row>
    <row r="82" spans="1:21" s="26" customFormat="1" ht="13.5" hidden="1" customHeight="1">
      <c r="A82" s="893"/>
      <c r="B82" s="889"/>
      <c r="C82" s="81" t="s">
        <v>14</v>
      </c>
      <c r="D82" s="45">
        <f t="shared" si="26"/>
        <v>0</v>
      </c>
      <c r="E82" s="46">
        <f t="shared" si="27"/>
        <v>0</v>
      </c>
      <c r="F82" s="46">
        <f t="shared" si="28"/>
        <v>0</v>
      </c>
      <c r="G82" s="46"/>
      <c r="H82" s="46"/>
      <c r="I82" s="46"/>
      <c r="J82" s="46"/>
      <c r="K82" s="46"/>
      <c r="L82" s="46"/>
      <c r="M82" s="46">
        <f>N82+P82</f>
        <v>0</v>
      </c>
      <c r="N82" s="46"/>
      <c r="O82" s="46"/>
      <c r="P82" s="46"/>
      <c r="Q82" s="56"/>
      <c r="R82" s="56"/>
      <c r="S82" s="32"/>
      <c r="T82" s="32"/>
      <c r="U82" s="32"/>
    </row>
    <row r="83" spans="1:21" s="26" customFormat="1" ht="13.5" hidden="1" customHeight="1">
      <c r="A83" s="894"/>
      <c r="B83" s="890"/>
      <c r="C83" s="81" t="s">
        <v>15</v>
      </c>
      <c r="D83" s="45">
        <f>D81+D82</f>
        <v>4800000</v>
      </c>
      <c r="E83" s="46">
        <f t="shared" ref="E83:P83" si="35">E81+E82</f>
        <v>0</v>
      </c>
      <c r="F83" s="46">
        <f t="shared" si="35"/>
        <v>0</v>
      </c>
      <c r="G83" s="46">
        <f t="shared" si="35"/>
        <v>0</v>
      </c>
      <c r="H83" s="46">
        <f t="shared" si="35"/>
        <v>0</v>
      </c>
      <c r="I83" s="46">
        <f t="shared" si="35"/>
        <v>0</v>
      </c>
      <c r="J83" s="46">
        <f t="shared" si="35"/>
        <v>0</v>
      </c>
      <c r="K83" s="46">
        <f t="shared" si="35"/>
        <v>0</v>
      </c>
      <c r="L83" s="46">
        <f t="shared" si="35"/>
        <v>0</v>
      </c>
      <c r="M83" s="46">
        <f t="shared" si="35"/>
        <v>4800000</v>
      </c>
      <c r="N83" s="46">
        <f t="shared" si="35"/>
        <v>4800000</v>
      </c>
      <c r="O83" s="46">
        <f t="shared" si="35"/>
        <v>0</v>
      </c>
      <c r="P83" s="46">
        <f t="shared" si="35"/>
        <v>0</v>
      </c>
      <c r="Q83" s="56"/>
      <c r="R83" s="56"/>
      <c r="S83" s="32"/>
      <c r="T83" s="32"/>
      <c r="U83" s="32"/>
    </row>
    <row r="84" spans="1:21" s="57" customFormat="1" ht="13.5" customHeight="1">
      <c r="A84" s="913">
        <v>60017</v>
      </c>
      <c r="B84" s="898" t="s">
        <v>205</v>
      </c>
      <c r="C84" s="81" t="s">
        <v>13</v>
      </c>
      <c r="D84" s="82">
        <f>E84+M84</f>
        <v>325202</v>
      </c>
      <c r="E84" s="46">
        <f>F84+I84+J84+K84+L84</f>
        <v>0</v>
      </c>
      <c r="F84" s="46">
        <f>G84+H84</f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f>N84+P84</f>
        <v>325202</v>
      </c>
      <c r="N84" s="46">
        <v>325202</v>
      </c>
      <c r="O84" s="46">
        <v>0</v>
      </c>
      <c r="P84" s="46">
        <v>0</v>
      </c>
      <c r="Q84" s="56"/>
      <c r="R84" s="56"/>
      <c r="S84" s="56"/>
      <c r="T84" s="56"/>
      <c r="U84" s="56"/>
    </row>
    <row r="85" spans="1:21" s="57" customFormat="1" ht="13.5" customHeight="1">
      <c r="A85" s="914"/>
      <c r="B85" s="899"/>
      <c r="C85" s="81" t="s">
        <v>14</v>
      </c>
      <c r="D85" s="82">
        <f>E85+M85</f>
        <v>6014</v>
      </c>
      <c r="E85" s="46">
        <f>F85+I85+J85+K85+L85</f>
        <v>0</v>
      </c>
      <c r="F85" s="46">
        <f>G85+H85</f>
        <v>0</v>
      </c>
      <c r="G85" s="46"/>
      <c r="H85" s="46"/>
      <c r="I85" s="46"/>
      <c r="J85" s="46"/>
      <c r="K85" s="46"/>
      <c r="L85" s="46"/>
      <c r="M85" s="46">
        <f>N85+P85</f>
        <v>6014</v>
      </c>
      <c r="N85" s="46">
        <v>6014</v>
      </c>
      <c r="O85" s="46"/>
      <c r="P85" s="46"/>
      <c r="Q85" s="56"/>
      <c r="R85" s="56"/>
      <c r="S85" s="56"/>
      <c r="T85" s="56"/>
      <c r="U85" s="56"/>
    </row>
    <row r="86" spans="1:21" s="57" customFormat="1" ht="13.5" customHeight="1">
      <c r="A86" s="915"/>
      <c r="B86" s="900"/>
      <c r="C86" s="81" t="s">
        <v>15</v>
      </c>
      <c r="D86" s="82">
        <f>D84+D85</f>
        <v>331216</v>
      </c>
      <c r="E86" s="46">
        <f t="shared" ref="E86:P86" si="36">E84+E85</f>
        <v>0</v>
      </c>
      <c r="F86" s="46">
        <f t="shared" si="36"/>
        <v>0</v>
      </c>
      <c r="G86" s="46">
        <f t="shared" si="36"/>
        <v>0</v>
      </c>
      <c r="H86" s="46">
        <f t="shared" si="36"/>
        <v>0</v>
      </c>
      <c r="I86" s="46">
        <f t="shared" si="36"/>
        <v>0</v>
      </c>
      <c r="J86" s="46">
        <f t="shared" si="36"/>
        <v>0</v>
      </c>
      <c r="K86" s="46">
        <f t="shared" si="36"/>
        <v>0</v>
      </c>
      <c r="L86" s="46">
        <f t="shared" si="36"/>
        <v>0</v>
      </c>
      <c r="M86" s="46">
        <f t="shared" si="36"/>
        <v>331216</v>
      </c>
      <c r="N86" s="46">
        <f t="shared" si="36"/>
        <v>331216</v>
      </c>
      <c r="O86" s="46">
        <f t="shared" si="36"/>
        <v>0</v>
      </c>
      <c r="P86" s="46">
        <f t="shared" si="36"/>
        <v>0</v>
      </c>
      <c r="Q86" s="56"/>
      <c r="R86" s="56"/>
      <c r="S86" s="56"/>
      <c r="T86" s="56"/>
      <c r="U86" s="56"/>
    </row>
    <row r="87" spans="1:21" s="26" customFormat="1" ht="13.5" customHeight="1">
      <c r="A87" s="892" t="s">
        <v>50</v>
      </c>
      <c r="B87" s="888" t="s">
        <v>51</v>
      </c>
      <c r="C87" s="81" t="s">
        <v>13</v>
      </c>
      <c r="D87" s="45">
        <f t="shared" si="26"/>
        <v>946281</v>
      </c>
      <c r="E87" s="46">
        <f t="shared" si="27"/>
        <v>946281</v>
      </c>
      <c r="F87" s="46">
        <f t="shared" si="28"/>
        <v>325000</v>
      </c>
      <c r="G87" s="46">
        <v>168197</v>
      </c>
      <c r="H87" s="46">
        <v>156803</v>
      </c>
      <c r="I87" s="46">
        <v>50000</v>
      </c>
      <c r="J87" s="46">
        <v>0</v>
      </c>
      <c r="K87" s="46">
        <f>8500+1500+91565+16158+14312+2525+18200+3212+2594+458+2550+450+7650+1350+269772+47605+6800+1200+5300+935+57413+10132+935+165</f>
        <v>571281</v>
      </c>
      <c r="L87" s="46">
        <v>0</v>
      </c>
      <c r="M87" s="46">
        <f t="shared" si="30"/>
        <v>0</v>
      </c>
      <c r="N87" s="46">
        <v>0</v>
      </c>
      <c r="O87" s="46">
        <v>0</v>
      </c>
      <c r="P87" s="46">
        <v>0</v>
      </c>
      <c r="Q87" s="56"/>
      <c r="R87" s="56"/>
      <c r="S87" s="32"/>
      <c r="T87" s="32"/>
      <c r="U87" s="32"/>
    </row>
    <row r="88" spans="1:21" s="26" customFormat="1" ht="13.5" customHeight="1">
      <c r="A88" s="893"/>
      <c r="B88" s="889"/>
      <c r="C88" s="81" t="s">
        <v>14</v>
      </c>
      <c r="D88" s="45">
        <f t="shared" si="26"/>
        <v>22208</v>
      </c>
      <c r="E88" s="46">
        <f t="shared" si="27"/>
        <v>-27792</v>
      </c>
      <c r="F88" s="46">
        <f t="shared" si="28"/>
        <v>0</v>
      </c>
      <c r="G88" s="46"/>
      <c r="H88" s="46"/>
      <c r="I88" s="46"/>
      <c r="J88" s="46"/>
      <c r="K88" s="46">
        <f>49146-76938</f>
        <v>-27792</v>
      </c>
      <c r="L88" s="46"/>
      <c r="M88" s="46">
        <f t="shared" si="30"/>
        <v>50000</v>
      </c>
      <c r="N88" s="46"/>
      <c r="O88" s="46"/>
      <c r="P88" s="46">
        <v>50000</v>
      </c>
      <c r="Q88" s="56"/>
      <c r="R88" s="56"/>
      <c r="S88" s="32"/>
      <c r="T88" s="32"/>
      <c r="U88" s="32"/>
    </row>
    <row r="89" spans="1:21" s="26" customFormat="1" ht="13.5" customHeight="1">
      <c r="A89" s="894"/>
      <c r="B89" s="890"/>
      <c r="C89" s="81" t="s">
        <v>15</v>
      </c>
      <c r="D89" s="45">
        <f>D87+D88</f>
        <v>968489</v>
      </c>
      <c r="E89" s="46">
        <f t="shared" ref="E89:P89" si="37">E87+E88</f>
        <v>918489</v>
      </c>
      <c r="F89" s="46">
        <f t="shared" si="37"/>
        <v>325000</v>
      </c>
      <c r="G89" s="46">
        <f t="shared" si="37"/>
        <v>168197</v>
      </c>
      <c r="H89" s="46">
        <f t="shared" si="37"/>
        <v>156803</v>
      </c>
      <c r="I89" s="46">
        <f t="shared" si="37"/>
        <v>50000</v>
      </c>
      <c r="J89" s="46">
        <f t="shared" si="37"/>
        <v>0</v>
      </c>
      <c r="K89" s="46">
        <f t="shared" si="37"/>
        <v>543489</v>
      </c>
      <c r="L89" s="46">
        <f t="shared" si="37"/>
        <v>0</v>
      </c>
      <c r="M89" s="46">
        <f t="shared" si="37"/>
        <v>50000</v>
      </c>
      <c r="N89" s="46">
        <f t="shared" si="37"/>
        <v>0</v>
      </c>
      <c r="O89" s="46">
        <f t="shared" si="37"/>
        <v>0</v>
      </c>
      <c r="P89" s="46">
        <f t="shared" si="37"/>
        <v>50000</v>
      </c>
      <c r="Q89" s="56"/>
      <c r="R89" s="56"/>
      <c r="S89" s="32"/>
      <c r="T89" s="32"/>
      <c r="U89" s="32"/>
    </row>
    <row r="90" spans="1:21" s="28" customFormat="1" ht="14.25">
      <c r="A90" s="895" t="s">
        <v>67</v>
      </c>
      <c r="B90" s="880" t="s">
        <v>68</v>
      </c>
      <c r="C90" s="80" t="s">
        <v>13</v>
      </c>
      <c r="D90" s="43">
        <f t="shared" ref="D90:P91" si="38">D93+D96</f>
        <v>1341001</v>
      </c>
      <c r="E90" s="44">
        <f t="shared" si="38"/>
        <v>1341001</v>
      </c>
      <c r="F90" s="44">
        <f t="shared" si="38"/>
        <v>692819</v>
      </c>
      <c r="G90" s="44">
        <f t="shared" si="38"/>
        <v>192000</v>
      </c>
      <c r="H90" s="44">
        <f t="shared" si="38"/>
        <v>500819</v>
      </c>
      <c r="I90" s="44">
        <f t="shared" si="38"/>
        <v>150000</v>
      </c>
      <c r="J90" s="44">
        <f t="shared" si="38"/>
        <v>0</v>
      </c>
      <c r="K90" s="44">
        <f t="shared" si="38"/>
        <v>498182</v>
      </c>
      <c r="L90" s="44">
        <f t="shared" si="38"/>
        <v>0</v>
      </c>
      <c r="M90" s="44">
        <f t="shared" si="38"/>
        <v>0</v>
      </c>
      <c r="N90" s="44">
        <f t="shared" si="38"/>
        <v>0</v>
      </c>
      <c r="O90" s="44">
        <f t="shared" si="38"/>
        <v>0</v>
      </c>
      <c r="P90" s="44">
        <f t="shared" si="38"/>
        <v>0</v>
      </c>
      <c r="Q90" s="69"/>
      <c r="R90" s="69"/>
      <c r="S90" s="34"/>
      <c r="T90" s="34"/>
      <c r="U90" s="34"/>
    </row>
    <row r="91" spans="1:21" s="28" customFormat="1" ht="14.25">
      <c r="A91" s="896"/>
      <c r="B91" s="881"/>
      <c r="C91" s="80" t="s">
        <v>14</v>
      </c>
      <c r="D91" s="43">
        <f t="shared" si="38"/>
        <v>156635</v>
      </c>
      <c r="E91" s="44">
        <f t="shared" si="38"/>
        <v>156635</v>
      </c>
      <c r="F91" s="44">
        <f t="shared" si="38"/>
        <v>0</v>
      </c>
      <c r="G91" s="44">
        <f t="shared" si="38"/>
        <v>0</v>
      </c>
      <c r="H91" s="44">
        <f t="shared" si="38"/>
        <v>0</v>
      </c>
      <c r="I91" s="44">
        <f t="shared" si="38"/>
        <v>0</v>
      </c>
      <c r="J91" s="44">
        <f t="shared" si="38"/>
        <v>0</v>
      </c>
      <c r="K91" s="44">
        <f t="shared" si="38"/>
        <v>156635</v>
      </c>
      <c r="L91" s="44">
        <f t="shared" si="38"/>
        <v>0</v>
      </c>
      <c r="M91" s="44">
        <f t="shared" si="38"/>
        <v>0</v>
      </c>
      <c r="N91" s="44">
        <f t="shared" si="38"/>
        <v>0</v>
      </c>
      <c r="O91" s="44">
        <f t="shared" si="38"/>
        <v>0</v>
      </c>
      <c r="P91" s="44">
        <f t="shared" si="38"/>
        <v>0</v>
      </c>
      <c r="Q91" s="69"/>
      <c r="R91" s="69"/>
      <c r="S91" s="34"/>
      <c r="T91" s="34"/>
      <c r="U91" s="34"/>
    </row>
    <row r="92" spans="1:21" s="28" customFormat="1" ht="14.25">
      <c r="A92" s="897"/>
      <c r="B92" s="882"/>
      <c r="C92" s="80" t="s">
        <v>15</v>
      </c>
      <c r="D92" s="43">
        <f>D90+D91</f>
        <v>1497636</v>
      </c>
      <c r="E92" s="44">
        <f t="shared" ref="E92:P92" si="39">E90+E91</f>
        <v>1497636</v>
      </c>
      <c r="F92" s="44">
        <f t="shared" si="39"/>
        <v>692819</v>
      </c>
      <c r="G92" s="44">
        <f t="shared" si="39"/>
        <v>192000</v>
      </c>
      <c r="H92" s="44">
        <f t="shared" si="39"/>
        <v>500819</v>
      </c>
      <c r="I92" s="44">
        <f t="shared" si="39"/>
        <v>150000</v>
      </c>
      <c r="J92" s="44">
        <f t="shared" si="39"/>
        <v>0</v>
      </c>
      <c r="K92" s="44">
        <f t="shared" si="39"/>
        <v>654817</v>
      </c>
      <c r="L92" s="44">
        <f t="shared" si="39"/>
        <v>0</v>
      </c>
      <c r="M92" s="44">
        <f t="shared" si="39"/>
        <v>0</v>
      </c>
      <c r="N92" s="44">
        <f t="shared" si="39"/>
        <v>0</v>
      </c>
      <c r="O92" s="44">
        <f t="shared" si="39"/>
        <v>0</v>
      </c>
      <c r="P92" s="44">
        <f t="shared" si="39"/>
        <v>0</v>
      </c>
      <c r="Q92" s="69"/>
      <c r="R92" s="69"/>
      <c r="S92" s="34"/>
      <c r="T92" s="34"/>
      <c r="U92" s="34"/>
    </row>
    <row r="93" spans="1:21" s="26" customFormat="1" ht="13.5" hidden="1" customHeight="1">
      <c r="A93" s="892" t="s">
        <v>112</v>
      </c>
      <c r="B93" s="888" t="s">
        <v>113</v>
      </c>
      <c r="C93" s="81" t="s">
        <v>13</v>
      </c>
      <c r="D93" s="45">
        <f>E93+M93</f>
        <v>653819</v>
      </c>
      <c r="E93" s="46">
        <f>F93+I93+J93+K93+L93</f>
        <v>653819</v>
      </c>
      <c r="F93" s="46">
        <f>G93+H93</f>
        <v>503819</v>
      </c>
      <c r="G93" s="46">
        <v>3000</v>
      </c>
      <c r="H93" s="46">
        <f>3000+1000+58250+414903+23666</f>
        <v>500819</v>
      </c>
      <c r="I93" s="46">
        <v>150000</v>
      </c>
      <c r="J93" s="46">
        <v>0</v>
      </c>
      <c r="K93" s="46">
        <v>0</v>
      </c>
      <c r="L93" s="46">
        <v>0</v>
      </c>
      <c r="M93" s="46">
        <f>N93+P93</f>
        <v>0</v>
      </c>
      <c r="N93" s="46">
        <v>0</v>
      </c>
      <c r="O93" s="46">
        <v>0</v>
      </c>
      <c r="P93" s="46">
        <v>0</v>
      </c>
      <c r="Q93" s="56"/>
      <c r="R93" s="56"/>
      <c r="S93" s="32"/>
      <c r="T93" s="32"/>
      <c r="U93" s="32"/>
    </row>
    <row r="94" spans="1:21" s="26" customFormat="1" ht="13.5" hidden="1" customHeight="1">
      <c r="A94" s="893"/>
      <c r="B94" s="889"/>
      <c r="C94" s="81" t="s">
        <v>14</v>
      </c>
      <c r="D94" s="45">
        <f>E94+M94</f>
        <v>0</v>
      </c>
      <c r="E94" s="46">
        <f>F94+I94+J94+K94+L94</f>
        <v>0</v>
      </c>
      <c r="F94" s="46">
        <f>G94+H94</f>
        <v>0</v>
      </c>
      <c r="G94" s="46"/>
      <c r="H94" s="46"/>
      <c r="I94" s="46"/>
      <c r="J94" s="46"/>
      <c r="K94" s="46"/>
      <c r="L94" s="46"/>
      <c r="M94" s="46">
        <f>N94+P94</f>
        <v>0</v>
      </c>
      <c r="N94" s="46"/>
      <c r="O94" s="46"/>
      <c r="P94" s="46"/>
      <c r="Q94" s="56"/>
      <c r="R94" s="56"/>
      <c r="S94" s="32"/>
      <c r="T94" s="32"/>
      <c r="U94" s="32"/>
    </row>
    <row r="95" spans="1:21" s="26" customFormat="1" ht="13.5" hidden="1" customHeight="1">
      <c r="A95" s="894"/>
      <c r="B95" s="890"/>
      <c r="C95" s="81" t="s">
        <v>15</v>
      </c>
      <c r="D95" s="45">
        <f>D93+D94</f>
        <v>653819</v>
      </c>
      <c r="E95" s="46">
        <f t="shared" ref="E95:P95" si="40">E93+E94</f>
        <v>653819</v>
      </c>
      <c r="F95" s="46">
        <f t="shared" si="40"/>
        <v>503819</v>
      </c>
      <c r="G95" s="46">
        <f t="shared" si="40"/>
        <v>3000</v>
      </c>
      <c r="H95" s="46">
        <f t="shared" si="40"/>
        <v>500819</v>
      </c>
      <c r="I95" s="46">
        <f t="shared" si="40"/>
        <v>150000</v>
      </c>
      <c r="J95" s="46">
        <f t="shared" si="40"/>
        <v>0</v>
      </c>
      <c r="K95" s="46">
        <f t="shared" si="40"/>
        <v>0</v>
      </c>
      <c r="L95" s="46">
        <f t="shared" si="40"/>
        <v>0</v>
      </c>
      <c r="M95" s="46">
        <f t="shared" si="40"/>
        <v>0</v>
      </c>
      <c r="N95" s="46">
        <f t="shared" si="40"/>
        <v>0</v>
      </c>
      <c r="O95" s="46">
        <f t="shared" si="40"/>
        <v>0</v>
      </c>
      <c r="P95" s="46">
        <f t="shared" si="40"/>
        <v>0</v>
      </c>
      <c r="Q95" s="56"/>
      <c r="R95" s="56"/>
      <c r="S95" s="32"/>
      <c r="T95" s="32"/>
      <c r="U95" s="32"/>
    </row>
    <row r="96" spans="1:21" s="26" customFormat="1" ht="13.5" customHeight="1">
      <c r="A96" s="892" t="s">
        <v>74</v>
      </c>
      <c r="B96" s="888" t="s">
        <v>51</v>
      </c>
      <c r="C96" s="81" t="s">
        <v>13</v>
      </c>
      <c r="D96" s="45">
        <f>E96+M96</f>
        <v>687182</v>
      </c>
      <c r="E96" s="46">
        <f>F96+I96+J96+K96+L96</f>
        <v>687182</v>
      </c>
      <c r="F96" s="46">
        <f>G96+H96</f>
        <v>189000</v>
      </c>
      <c r="G96" s="46">
        <v>189000</v>
      </c>
      <c r="H96" s="46">
        <v>0</v>
      </c>
      <c r="I96" s="46">
        <v>0</v>
      </c>
      <c r="J96" s="46">
        <v>0</v>
      </c>
      <c r="K96" s="46">
        <f>8500+1500+159336+28118+26331+4646+31916+5633+4549+802+5100+900+1700+300+147392+26011+7650+1350+1700+300+28686+5062+595+105</f>
        <v>498182</v>
      </c>
      <c r="L96" s="46">
        <v>0</v>
      </c>
      <c r="M96" s="46">
        <f>N96+P96</f>
        <v>0</v>
      </c>
      <c r="N96" s="46">
        <v>0</v>
      </c>
      <c r="O96" s="46">
        <v>0</v>
      </c>
      <c r="P96" s="46">
        <v>0</v>
      </c>
      <c r="Q96" s="56"/>
      <c r="R96" s="56"/>
      <c r="S96" s="32"/>
      <c r="T96" s="32"/>
      <c r="U96" s="32"/>
    </row>
    <row r="97" spans="1:21" s="26" customFormat="1" ht="13.5" customHeight="1">
      <c r="A97" s="893"/>
      <c r="B97" s="889"/>
      <c r="C97" s="81" t="s">
        <v>14</v>
      </c>
      <c r="D97" s="45">
        <f>E97+M97</f>
        <v>156635</v>
      </c>
      <c r="E97" s="46">
        <f>F97+I97+J97+K97+L97</f>
        <v>156635</v>
      </c>
      <c r="F97" s="46">
        <f>G97+H97</f>
        <v>0</v>
      </c>
      <c r="G97" s="46"/>
      <c r="H97" s="46"/>
      <c r="I97" s="46"/>
      <c r="J97" s="46"/>
      <c r="K97" s="46">
        <f>178223-21588</f>
        <v>156635</v>
      </c>
      <c r="L97" s="46"/>
      <c r="M97" s="46">
        <f>N97+P97</f>
        <v>0</v>
      </c>
      <c r="N97" s="46"/>
      <c r="O97" s="46"/>
      <c r="P97" s="46"/>
      <c r="Q97" s="56"/>
      <c r="R97" s="56"/>
      <c r="S97" s="32"/>
      <c r="T97" s="32"/>
      <c r="U97" s="32"/>
    </row>
    <row r="98" spans="1:21" s="26" customFormat="1" ht="13.5" customHeight="1">
      <c r="A98" s="894"/>
      <c r="B98" s="890"/>
      <c r="C98" s="81" t="s">
        <v>15</v>
      </c>
      <c r="D98" s="45">
        <f>D96+D97</f>
        <v>843817</v>
      </c>
      <c r="E98" s="46">
        <f t="shared" ref="E98:P98" si="41">E96+E97</f>
        <v>843817</v>
      </c>
      <c r="F98" s="46">
        <f t="shared" si="41"/>
        <v>189000</v>
      </c>
      <c r="G98" s="46">
        <f t="shared" si="41"/>
        <v>189000</v>
      </c>
      <c r="H98" s="46">
        <f t="shared" si="41"/>
        <v>0</v>
      </c>
      <c r="I98" s="46">
        <f t="shared" si="41"/>
        <v>0</v>
      </c>
      <c r="J98" s="46">
        <f t="shared" si="41"/>
        <v>0</v>
      </c>
      <c r="K98" s="46">
        <f t="shared" si="41"/>
        <v>654817</v>
      </c>
      <c r="L98" s="46">
        <f t="shared" si="41"/>
        <v>0</v>
      </c>
      <c r="M98" s="46">
        <f t="shared" si="41"/>
        <v>0</v>
      </c>
      <c r="N98" s="46">
        <f t="shared" si="41"/>
        <v>0</v>
      </c>
      <c r="O98" s="46">
        <f t="shared" si="41"/>
        <v>0</v>
      </c>
      <c r="P98" s="46">
        <f t="shared" si="41"/>
        <v>0</v>
      </c>
      <c r="Q98" s="56"/>
      <c r="R98" s="56"/>
      <c r="S98" s="32"/>
      <c r="T98" s="32"/>
      <c r="U98" s="32"/>
    </row>
    <row r="99" spans="1:21" s="28" customFormat="1" ht="14.25">
      <c r="A99" s="895" t="s">
        <v>22</v>
      </c>
      <c r="B99" s="880" t="s">
        <v>23</v>
      </c>
      <c r="C99" s="80" t="s">
        <v>13</v>
      </c>
      <c r="D99" s="43">
        <f t="shared" ref="D99:P100" si="42">D102</f>
        <v>795140</v>
      </c>
      <c r="E99" s="44">
        <f t="shared" si="42"/>
        <v>772500</v>
      </c>
      <c r="F99" s="44">
        <f t="shared" si="42"/>
        <v>772500</v>
      </c>
      <c r="G99" s="44">
        <f t="shared" si="42"/>
        <v>0</v>
      </c>
      <c r="H99" s="44">
        <f t="shared" si="42"/>
        <v>772500</v>
      </c>
      <c r="I99" s="44">
        <f t="shared" si="42"/>
        <v>0</v>
      </c>
      <c r="J99" s="44">
        <f t="shared" si="42"/>
        <v>0</v>
      </c>
      <c r="K99" s="44">
        <f t="shared" si="42"/>
        <v>0</v>
      </c>
      <c r="L99" s="44">
        <f t="shared" si="42"/>
        <v>0</v>
      </c>
      <c r="M99" s="44">
        <f t="shared" si="42"/>
        <v>22640</v>
      </c>
      <c r="N99" s="44">
        <f t="shared" si="42"/>
        <v>22640</v>
      </c>
      <c r="O99" s="44">
        <f>O102</f>
        <v>0</v>
      </c>
      <c r="P99" s="44">
        <f t="shared" si="42"/>
        <v>0</v>
      </c>
      <c r="Q99" s="69"/>
      <c r="R99" s="69"/>
      <c r="S99" s="34"/>
      <c r="T99" s="34"/>
      <c r="U99" s="34"/>
    </row>
    <row r="100" spans="1:21" s="28" customFormat="1" ht="14.25">
      <c r="A100" s="896"/>
      <c r="B100" s="881"/>
      <c r="C100" s="80" t="s">
        <v>14</v>
      </c>
      <c r="D100" s="43">
        <f t="shared" si="42"/>
        <v>82755</v>
      </c>
      <c r="E100" s="44">
        <f t="shared" si="42"/>
        <v>0</v>
      </c>
      <c r="F100" s="44">
        <f t="shared" si="42"/>
        <v>0</v>
      </c>
      <c r="G100" s="44">
        <f t="shared" si="42"/>
        <v>0</v>
      </c>
      <c r="H100" s="44">
        <f t="shared" si="42"/>
        <v>0</v>
      </c>
      <c r="I100" s="44">
        <f t="shared" si="42"/>
        <v>0</v>
      </c>
      <c r="J100" s="44">
        <f t="shared" si="42"/>
        <v>0</v>
      </c>
      <c r="K100" s="44">
        <f t="shared" si="42"/>
        <v>0</v>
      </c>
      <c r="L100" s="44">
        <f t="shared" si="42"/>
        <v>0</v>
      </c>
      <c r="M100" s="44">
        <f t="shared" si="42"/>
        <v>82755</v>
      </c>
      <c r="N100" s="44">
        <f t="shared" si="42"/>
        <v>82755</v>
      </c>
      <c r="O100" s="44">
        <f t="shared" si="42"/>
        <v>0</v>
      </c>
      <c r="P100" s="44">
        <f t="shared" si="42"/>
        <v>0</v>
      </c>
      <c r="Q100" s="69"/>
      <c r="R100" s="69"/>
      <c r="S100" s="34"/>
      <c r="T100" s="34"/>
      <c r="U100" s="34"/>
    </row>
    <row r="101" spans="1:21" s="28" customFormat="1" ht="14.25">
      <c r="A101" s="897"/>
      <c r="B101" s="882"/>
      <c r="C101" s="80" t="s">
        <v>15</v>
      </c>
      <c r="D101" s="43">
        <f>D99+D100</f>
        <v>877895</v>
      </c>
      <c r="E101" s="44">
        <f t="shared" ref="E101:P101" si="43">E99+E100</f>
        <v>772500</v>
      </c>
      <c r="F101" s="44">
        <f t="shared" si="43"/>
        <v>772500</v>
      </c>
      <c r="G101" s="44">
        <f t="shared" si="43"/>
        <v>0</v>
      </c>
      <c r="H101" s="44">
        <f t="shared" si="43"/>
        <v>772500</v>
      </c>
      <c r="I101" s="44">
        <f t="shared" si="43"/>
        <v>0</v>
      </c>
      <c r="J101" s="44">
        <f t="shared" si="43"/>
        <v>0</v>
      </c>
      <c r="K101" s="44">
        <f t="shared" si="43"/>
        <v>0</v>
      </c>
      <c r="L101" s="44">
        <f t="shared" si="43"/>
        <v>0</v>
      </c>
      <c r="M101" s="44">
        <f t="shared" si="43"/>
        <v>105395</v>
      </c>
      <c r="N101" s="44">
        <f t="shared" si="43"/>
        <v>105395</v>
      </c>
      <c r="O101" s="44">
        <f t="shared" si="43"/>
        <v>0</v>
      </c>
      <c r="P101" s="44">
        <f t="shared" si="43"/>
        <v>0</v>
      </c>
      <c r="Q101" s="69"/>
      <c r="R101" s="69"/>
      <c r="S101" s="34"/>
      <c r="T101" s="34"/>
      <c r="U101" s="34"/>
    </row>
    <row r="102" spans="1:21" s="26" customFormat="1" ht="13.5" customHeight="1">
      <c r="A102" s="892" t="s">
        <v>24</v>
      </c>
      <c r="B102" s="888" t="s">
        <v>114</v>
      </c>
      <c r="C102" s="81" t="s">
        <v>13</v>
      </c>
      <c r="D102" s="45">
        <f>E102+M102</f>
        <v>795140</v>
      </c>
      <c r="E102" s="46">
        <f>F102+I102+J102+K102+L102</f>
        <v>772500</v>
      </c>
      <c r="F102" s="46">
        <f>G102+H102</f>
        <v>772500</v>
      </c>
      <c r="G102" s="46">
        <v>0</v>
      </c>
      <c r="H102" s="46">
        <f>795140-22640</f>
        <v>772500</v>
      </c>
      <c r="I102" s="46">
        <v>0</v>
      </c>
      <c r="J102" s="46">
        <v>0</v>
      </c>
      <c r="K102" s="46">
        <v>0</v>
      </c>
      <c r="L102" s="46">
        <v>0</v>
      </c>
      <c r="M102" s="46">
        <f>N102+P102</f>
        <v>22640</v>
      </c>
      <c r="N102" s="46">
        <v>22640</v>
      </c>
      <c r="O102" s="46">
        <v>0</v>
      </c>
      <c r="P102" s="46">
        <v>0</v>
      </c>
      <c r="Q102" s="56"/>
      <c r="R102" s="56"/>
      <c r="S102" s="32"/>
      <c r="T102" s="32"/>
      <c r="U102" s="32"/>
    </row>
    <row r="103" spans="1:21" s="26" customFormat="1" ht="13.5" customHeight="1">
      <c r="A103" s="893"/>
      <c r="B103" s="889"/>
      <c r="C103" s="81" t="s">
        <v>14</v>
      </c>
      <c r="D103" s="45">
        <f>E103+M103</f>
        <v>82755</v>
      </c>
      <c r="E103" s="46">
        <f>F103+I103+J103+K103+L103</f>
        <v>0</v>
      </c>
      <c r="F103" s="46">
        <f>G103+H103</f>
        <v>0</v>
      </c>
      <c r="G103" s="46"/>
      <c r="H103" s="46"/>
      <c r="I103" s="46"/>
      <c r="J103" s="46"/>
      <c r="K103" s="46"/>
      <c r="L103" s="46"/>
      <c r="M103" s="46">
        <f>N103+P103</f>
        <v>82755</v>
      </c>
      <c r="N103" s="46">
        <v>82755</v>
      </c>
      <c r="O103" s="46"/>
      <c r="P103" s="46"/>
      <c r="Q103" s="56"/>
      <c r="R103" s="56"/>
      <c r="S103" s="32"/>
      <c r="T103" s="32"/>
      <c r="U103" s="32"/>
    </row>
    <row r="104" spans="1:21" s="26" customFormat="1" ht="13.5" customHeight="1">
      <c r="A104" s="894"/>
      <c r="B104" s="890"/>
      <c r="C104" s="79" t="s">
        <v>15</v>
      </c>
      <c r="D104" s="45">
        <f>D102+D103</f>
        <v>877895</v>
      </c>
      <c r="E104" s="46">
        <f t="shared" ref="E104:P104" si="44">E102+E103</f>
        <v>772500</v>
      </c>
      <c r="F104" s="46">
        <f t="shared" si="44"/>
        <v>772500</v>
      </c>
      <c r="G104" s="46">
        <f t="shared" si="44"/>
        <v>0</v>
      </c>
      <c r="H104" s="46">
        <f t="shared" si="44"/>
        <v>772500</v>
      </c>
      <c r="I104" s="46">
        <f t="shared" si="44"/>
        <v>0</v>
      </c>
      <c r="J104" s="46">
        <f t="shared" si="44"/>
        <v>0</v>
      </c>
      <c r="K104" s="46">
        <f t="shared" si="44"/>
        <v>0</v>
      </c>
      <c r="L104" s="46">
        <f t="shared" si="44"/>
        <v>0</v>
      </c>
      <c r="M104" s="46">
        <f t="shared" si="44"/>
        <v>105395</v>
      </c>
      <c r="N104" s="46">
        <f t="shared" si="44"/>
        <v>105395</v>
      </c>
      <c r="O104" s="46">
        <f t="shared" si="44"/>
        <v>0</v>
      </c>
      <c r="P104" s="46">
        <f t="shared" si="44"/>
        <v>0</v>
      </c>
      <c r="Q104" s="56"/>
      <c r="R104" s="56"/>
      <c r="S104" s="32"/>
      <c r="T104" s="32"/>
      <c r="U104" s="32"/>
    </row>
    <row r="105" spans="1:21" s="28" customFormat="1" ht="14.85" customHeight="1">
      <c r="A105" s="895" t="s">
        <v>25</v>
      </c>
      <c r="B105" s="880" t="s">
        <v>26</v>
      </c>
      <c r="C105" s="80" t="s">
        <v>13</v>
      </c>
      <c r="D105" s="54">
        <f>D108+D111+D114+D117+D120</f>
        <v>4970225</v>
      </c>
      <c r="E105" s="44">
        <f t="shared" ref="E105:P105" si="45">E108+E111+E114+E117+E120</f>
        <v>4957725</v>
      </c>
      <c r="F105" s="44">
        <f t="shared" si="45"/>
        <v>4953225</v>
      </c>
      <c r="G105" s="44">
        <f t="shared" si="45"/>
        <v>4208891</v>
      </c>
      <c r="H105" s="44">
        <f t="shared" si="45"/>
        <v>744334</v>
      </c>
      <c r="I105" s="44">
        <f t="shared" si="45"/>
        <v>0</v>
      </c>
      <c r="J105" s="44">
        <f t="shared" si="45"/>
        <v>4500</v>
      </c>
      <c r="K105" s="44">
        <f t="shared" si="45"/>
        <v>0</v>
      </c>
      <c r="L105" s="44">
        <f t="shared" si="45"/>
        <v>0</v>
      </c>
      <c r="M105" s="44">
        <f t="shared" si="45"/>
        <v>12500</v>
      </c>
      <c r="N105" s="44">
        <f t="shared" si="45"/>
        <v>12500</v>
      </c>
      <c r="O105" s="44">
        <f t="shared" si="45"/>
        <v>0</v>
      </c>
      <c r="P105" s="44">
        <f t="shared" si="45"/>
        <v>0</v>
      </c>
      <c r="Q105" s="69"/>
      <c r="R105" s="69"/>
      <c r="S105" s="34"/>
      <c r="T105" s="34"/>
      <c r="U105" s="34"/>
    </row>
    <row r="106" spans="1:21" s="28" customFormat="1" ht="14.85" customHeight="1">
      <c r="A106" s="896"/>
      <c r="B106" s="881"/>
      <c r="C106" s="80" t="s">
        <v>14</v>
      </c>
      <c r="D106" s="54">
        <f>D109+D112+D115+D118+D121</f>
        <v>2152700</v>
      </c>
      <c r="E106" s="44">
        <f t="shared" ref="E106:P106" si="46">E109+E112+E115+E118+E121</f>
        <v>0</v>
      </c>
      <c r="F106" s="44">
        <f t="shared" si="46"/>
        <v>0</v>
      </c>
      <c r="G106" s="44">
        <f t="shared" si="46"/>
        <v>0</v>
      </c>
      <c r="H106" s="44">
        <f t="shared" si="46"/>
        <v>0</v>
      </c>
      <c r="I106" s="44">
        <f t="shared" si="46"/>
        <v>0</v>
      </c>
      <c r="J106" s="44">
        <f t="shared" si="46"/>
        <v>0</v>
      </c>
      <c r="K106" s="44">
        <f t="shared" si="46"/>
        <v>0</v>
      </c>
      <c r="L106" s="44">
        <f t="shared" si="46"/>
        <v>0</v>
      </c>
      <c r="M106" s="44">
        <f t="shared" si="46"/>
        <v>2152700</v>
      </c>
      <c r="N106" s="44">
        <f t="shared" si="46"/>
        <v>0</v>
      </c>
      <c r="O106" s="44">
        <f t="shared" si="46"/>
        <v>0</v>
      </c>
      <c r="P106" s="44">
        <f t="shared" si="46"/>
        <v>2152700</v>
      </c>
      <c r="Q106" s="69"/>
      <c r="R106" s="69"/>
      <c r="S106" s="34"/>
      <c r="T106" s="34"/>
      <c r="U106" s="34"/>
    </row>
    <row r="107" spans="1:21" s="28" customFormat="1" ht="14.85" customHeight="1">
      <c r="A107" s="897"/>
      <c r="B107" s="882"/>
      <c r="C107" s="116" t="s">
        <v>15</v>
      </c>
      <c r="D107" s="54">
        <f>D105+D106</f>
        <v>7122925</v>
      </c>
      <c r="E107" s="44">
        <f t="shared" ref="E107:P107" si="47">E105+E106</f>
        <v>4957725</v>
      </c>
      <c r="F107" s="44">
        <f t="shared" si="47"/>
        <v>4953225</v>
      </c>
      <c r="G107" s="44">
        <f t="shared" si="47"/>
        <v>4208891</v>
      </c>
      <c r="H107" s="44">
        <f t="shared" si="47"/>
        <v>744334</v>
      </c>
      <c r="I107" s="44">
        <f t="shared" si="47"/>
        <v>0</v>
      </c>
      <c r="J107" s="44">
        <f t="shared" si="47"/>
        <v>4500</v>
      </c>
      <c r="K107" s="44">
        <f t="shared" si="47"/>
        <v>0</v>
      </c>
      <c r="L107" s="44">
        <f t="shared" si="47"/>
        <v>0</v>
      </c>
      <c r="M107" s="44">
        <f t="shared" si="47"/>
        <v>2165200</v>
      </c>
      <c r="N107" s="44">
        <f t="shared" si="47"/>
        <v>12500</v>
      </c>
      <c r="O107" s="44">
        <f t="shared" si="47"/>
        <v>0</v>
      </c>
      <c r="P107" s="44">
        <f t="shared" si="47"/>
        <v>2152700</v>
      </c>
      <c r="Q107" s="69"/>
      <c r="R107" s="69"/>
      <c r="S107" s="34"/>
      <c r="T107" s="34"/>
      <c r="U107" s="34"/>
    </row>
    <row r="108" spans="1:21" s="50" customFormat="1" ht="13.5" hidden="1" customHeight="1">
      <c r="A108" s="892" t="s">
        <v>27</v>
      </c>
      <c r="B108" s="888" t="s">
        <v>115</v>
      </c>
      <c r="C108" s="81" t="s">
        <v>13</v>
      </c>
      <c r="D108" s="72">
        <f>E108+M108</f>
        <v>4513225</v>
      </c>
      <c r="E108" s="73">
        <f>F108+I108+J108+K108+L108</f>
        <v>4513225</v>
      </c>
      <c r="F108" s="73">
        <f>G108+H108</f>
        <v>4508725</v>
      </c>
      <c r="G108" s="73">
        <v>3939391</v>
      </c>
      <c r="H108" s="73">
        <f>78000+111500+1000+93000+39395+3000+100000+15000+9000+8000+82939+2500+15000+11000</f>
        <v>569334</v>
      </c>
      <c r="I108" s="73">
        <v>0</v>
      </c>
      <c r="J108" s="73">
        <v>4500</v>
      </c>
      <c r="K108" s="73">
        <v>0</v>
      </c>
      <c r="L108" s="73">
        <v>0</v>
      </c>
      <c r="M108" s="73">
        <f>N108+P108</f>
        <v>0</v>
      </c>
      <c r="N108" s="73">
        <v>0</v>
      </c>
      <c r="O108" s="73">
        <v>0</v>
      </c>
      <c r="P108" s="73">
        <v>0</v>
      </c>
      <c r="Q108" s="74"/>
      <c r="R108" s="74"/>
      <c r="S108" s="49"/>
      <c r="T108" s="49"/>
      <c r="U108" s="49"/>
    </row>
    <row r="109" spans="1:21" s="50" customFormat="1" ht="13.5" hidden="1" customHeight="1">
      <c r="A109" s="893"/>
      <c r="B109" s="889"/>
      <c r="C109" s="81" t="s">
        <v>14</v>
      </c>
      <c r="D109" s="72">
        <f>E109+M109</f>
        <v>0</v>
      </c>
      <c r="E109" s="73">
        <f>F109+I109+J109+K109+L109</f>
        <v>0</v>
      </c>
      <c r="F109" s="73">
        <f>G109+H109</f>
        <v>0</v>
      </c>
      <c r="G109" s="73"/>
      <c r="H109" s="73"/>
      <c r="I109" s="73"/>
      <c r="J109" s="73"/>
      <c r="K109" s="73"/>
      <c r="L109" s="73"/>
      <c r="M109" s="73">
        <f>N109+P109</f>
        <v>0</v>
      </c>
      <c r="N109" s="73"/>
      <c r="O109" s="73"/>
      <c r="P109" s="73"/>
      <c r="Q109" s="74"/>
      <c r="R109" s="74"/>
      <c r="S109" s="49"/>
      <c r="T109" s="49"/>
      <c r="U109" s="49"/>
    </row>
    <row r="110" spans="1:21" s="50" customFormat="1" ht="13.5" hidden="1" customHeight="1">
      <c r="A110" s="894"/>
      <c r="B110" s="890"/>
      <c r="C110" s="81" t="s">
        <v>15</v>
      </c>
      <c r="D110" s="72">
        <f>D108+D109</f>
        <v>4513225</v>
      </c>
      <c r="E110" s="73">
        <f t="shared" ref="E110:P110" si="48">E108+E109</f>
        <v>4513225</v>
      </c>
      <c r="F110" s="73">
        <f t="shared" si="48"/>
        <v>4508725</v>
      </c>
      <c r="G110" s="73">
        <f t="shared" si="48"/>
        <v>3939391</v>
      </c>
      <c r="H110" s="73">
        <f t="shared" si="48"/>
        <v>569334</v>
      </c>
      <c r="I110" s="73">
        <f t="shared" si="48"/>
        <v>0</v>
      </c>
      <c r="J110" s="73">
        <f t="shared" si="48"/>
        <v>4500</v>
      </c>
      <c r="K110" s="73">
        <f t="shared" si="48"/>
        <v>0</v>
      </c>
      <c r="L110" s="73">
        <f t="shared" si="48"/>
        <v>0</v>
      </c>
      <c r="M110" s="73">
        <f t="shared" si="48"/>
        <v>0</v>
      </c>
      <c r="N110" s="73">
        <f t="shared" si="48"/>
        <v>0</v>
      </c>
      <c r="O110" s="73">
        <f t="shared" si="48"/>
        <v>0</v>
      </c>
      <c r="P110" s="73">
        <f t="shared" si="48"/>
        <v>0</v>
      </c>
      <c r="Q110" s="74"/>
      <c r="R110" s="74"/>
      <c r="S110" s="49"/>
      <c r="T110" s="49"/>
      <c r="U110" s="49"/>
    </row>
    <row r="111" spans="1:21" s="26" customFormat="1" ht="13.5" hidden="1" customHeight="1">
      <c r="A111" s="892" t="s">
        <v>116</v>
      </c>
      <c r="B111" s="888" t="s">
        <v>117</v>
      </c>
      <c r="C111" s="81" t="s">
        <v>13</v>
      </c>
      <c r="D111" s="45">
        <f>E111+M111</f>
        <v>25500</v>
      </c>
      <c r="E111" s="46">
        <f>F111+I111+J111+K111+L111</f>
        <v>25500</v>
      </c>
      <c r="F111" s="46">
        <f>G111+H111</f>
        <v>25500</v>
      </c>
      <c r="G111" s="46">
        <v>500</v>
      </c>
      <c r="H111" s="46">
        <f>3000+22000</f>
        <v>25000</v>
      </c>
      <c r="I111" s="46">
        <v>0</v>
      </c>
      <c r="J111" s="46">
        <v>0</v>
      </c>
      <c r="K111" s="46">
        <v>0</v>
      </c>
      <c r="L111" s="46">
        <v>0</v>
      </c>
      <c r="M111" s="46">
        <f>N111+P111</f>
        <v>0</v>
      </c>
      <c r="N111" s="73">
        <v>0</v>
      </c>
      <c r="O111" s="73">
        <v>0</v>
      </c>
      <c r="P111" s="73">
        <v>0</v>
      </c>
      <c r="Q111" s="56"/>
      <c r="R111" s="56"/>
      <c r="S111" s="32"/>
      <c r="T111" s="32"/>
      <c r="U111" s="32"/>
    </row>
    <row r="112" spans="1:21" s="26" customFormat="1" ht="13.5" hidden="1" customHeight="1">
      <c r="A112" s="893"/>
      <c r="B112" s="889"/>
      <c r="C112" s="81" t="s">
        <v>14</v>
      </c>
      <c r="D112" s="45">
        <f>E112+M112</f>
        <v>0</v>
      </c>
      <c r="E112" s="46">
        <f>F112+I112+J112+K112+L112</f>
        <v>0</v>
      </c>
      <c r="F112" s="46">
        <f>G112+H112</f>
        <v>0</v>
      </c>
      <c r="G112" s="46"/>
      <c r="H112" s="46"/>
      <c r="I112" s="46"/>
      <c r="J112" s="46"/>
      <c r="K112" s="46"/>
      <c r="L112" s="46"/>
      <c r="M112" s="46">
        <f>N112+P112</f>
        <v>0</v>
      </c>
      <c r="N112" s="73"/>
      <c r="O112" s="73"/>
      <c r="P112" s="73"/>
      <c r="Q112" s="56"/>
      <c r="R112" s="56"/>
      <c r="S112" s="32"/>
      <c r="T112" s="32"/>
      <c r="U112" s="32"/>
    </row>
    <row r="113" spans="1:21" s="26" customFormat="1" ht="13.5" hidden="1" customHeight="1">
      <c r="A113" s="894"/>
      <c r="B113" s="890"/>
      <c r="C113" s="81" t="s">
        <v>15</v>
      </c>
      <c r="D113" s="45">
        <f>D111+D112</f>
        <v>25500</v>
      </c>
      <c r="E113" s="46">
        <f t="shared" ref="E113:P113" si="49">E111+E112</f>
        <v>25500</v>
      </c>
      <c r="F113" s="46">
        <f t="shared" si="49"/>
        <v>25500</v>
      </c>
      <c r="G113" s="46">
        <f t="shared" si="49"/>
        <v>500</v>
      </c>
      <c r="H113" s="46">
        <f t="shared" si="49"/>
        <v>25000</v>
      </c>
      <c r="I113" s="46">
        <f t="shared" si="49"/>
        <v>0</v>
      </c>
      <c r="J113" s="46">
        <f t="shared" si="49"/>
        <v>0</v>
      </c>
      <c r="K113" s="46">
        <f t="shared" si="49"/>
        <v>0</v>
      </c>
      <c r="L113" s="46">
        <f t="shared" si="49"/>
        <v>0</v>
      </c>
      <c r="M113" s="46">
        <f t="shared" si="49"/>
        <v>0</v>
      </c>
      <c r="N113" s="46">
        <f t="shared" si="49"/>
        <v>0</v>
      </c>
      <c r="O113" s="46">
        <f t="shared" si="49"/>
        <v>0</v>
      </c>
      <c r="P113" s="46">
        <f t="shared" si="49"/>
        <v>0</v>
      </c>
      <c r="Q113" s="56"/>
      <c r="R113" s="56"/>
      <c r="S113" s="32"/>
      <c r="T113" s="32"/>
      <c r="U113" s="32"/>
    </row>
    <row r="114" spans="1:21" s="26" customFormat="1" ht="13.5" hidden="1" customHeight="1">
      <c r="A114" s="892" t="s">
        <v>52</v>
      </c>
      <c r="B114" s="888" t="s">
        <v>53</v>
      </c>
      <c r="C114" s="81" t="s">
        <v>13</v>
      </c>
      <c r="D114" s="45">
        <f>E114+M114</f>
        <v>269000</v>
      </c>
      <c r="E114" s="46">
        <f>F114+I114+J114+K114+L114</f>
        <v>269000</v>
      </c>
      <c r="F114" s="46">
        <f>G114+H114</f>
        <v>269000</v>
      </c>
      <c r="G114" s="46">
        <v>269000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f>N114+P114</f>
        <v>0</v>
      </c>
      <c r="N114" s="73">
        <v>0</v>
      </c>
      <c r="O114" s="73">
        <v>0</v>
      </c>
      <c r="P114" s="73">
        <v>0</v>
      </c>
      <c r="Q114" s="56"/>
      <c r="R114" s="56"/>
      <c r="S114" s="32"/>
      <c r="T114" s="32"/>
      <c r="U114" s="32"/>
    </row>
    <row r="115" spans="1:21" s="26" customFormat="1" ht="13.5" hidden="1" customHeight="1">
      <c r="A115" s="893"/>
      <c r="B115" s="889"/>
      <c r="C115" s="81" t="s">
        <v>14</v>
      </c>
      <c r="D115" s="45">
        <f>E115+M115</f>
        <v>0</v>
      </c>
      <c r="E115" s="46">
        <f>F115+I115+J115+K115+L115</f>
        <v>0</v>
      </c>
      <c r="F115" s="46">
        <f>G115+H115</f>
        <v>0</v>
      </c>
      <c r="G115" s="46"/>
      <c r="H115" s="46"/>
      <c r="I115" s="46"/>
      <c r="J115" s="46"/>
      <c r="K115" s="46"/>
      <c r="L115" s="46"/>
      <c r="M115" s="46">
        <f>N115+P115</f>
        <v>0</v>
      </c>
      <c r="N115" s="73"/>
      <c r="O115" s="73"/>
      <c r="P115" s="73"/>
      <c r="Q115" s="56"/>
      <c r="R115" s="56"/>
      <c r="S115" s="32"/>
      <c r="T115" s="32"/>
      <c r="U115" s="32"/>
    </row>
    <row r="116" spans="1:21" s="26" customFormat="1" ht="13.5" hidden="1" customHeight="1">
      <c r="A116" s="894"/>
      <c r="B116" s="890"/>
      <c r="C116" s="81" t="s">
        <v>15</v>
      </c>
      <c r="D116" s="45">
        <f>D114+D115</f>
        <v>269000</v>
      </c>
      <c r="E116" s="46">
        <f t="shared" ref="E116:P116" si="50">E114+E115</f>
        <v>269000</v>
      </c>
      <c r="F116" s="46">
        <f t="shared" si="50"/>
        <v>269000</v>
      </c>
      <c r="G116" s="46">
        <f t="shared" si="50"/>
        <v>269000</v>
      </c>
      <c r="H116" s="46">
        <f t="shared" si="50"/>
        <v>0</v>
      </c>
      <c r="I116" s="46">
        <f t="shared" si="50"/>
        <v>0</v>
      </c>
      <c r="J116" s="46">
        <f t="shared" si="50"/>
        <v>0</v>
      </c>
      <c r="K116" s="46">
        <f t="shared" si="50"/>
        <v>0</v>
      </c>
      <c r="L116" s="46">
        <f t="shared" si="50"/>
        <v>0</v>
      </c>
      <c r="M116" s="46">
        <f t="shared" si="50"/>
        <v>0</v>
      </c>
      <c r="N116" s="46">
        <f t="shared" si="50"/>
        <v>0</v>
      </c>
      <c r="O116" s="46">
        <f t="shared" si="50"/>
        <v>0</v>
      </c>
      <c r="P116" s="46">
        <f t="shared" si="50"/>
        <v>0</v>
      </c>
      <c r="Q116" s="56"/>
      <c r="R116" s="56"/>
      <c r="S116" s="32"/>
      <c r="T116" s="32"/>
      <c r="U116" s="32"/>
    </row>
    <row r="117" spans="1:21" s="26" customFormat="1" ht="13.5" hidden="1" customHeight="1">
      <c r="A117" s="892" t="s">
        <v>44</v>
      </c>
      <c r="B117" s="888" t="s">
        <v>75</v>
      </c>
      <c r="C117" s="81" t="s">
        <v>13</v>
      </c>
      <c r="D117" s="45">
        <f>E117+M117</f>
        <v>162500</v>
      </c>
      <c r="E117" s="46">
        <f>F117+I117+J117+K117+L117</f>
        <v>150000</v>
      </c>
      <c r="F117" s="46">
        <f>G117+H117</f>
        <v>150000</v>
      </c>
      <c r="G117" s="46">
        <v>0</v>
      </c>
      <c r="H117" s="46">
        <f>162500-12500</f>
        <v>150000</v>
      </c>
      <c r="I117" s="46">
        <v>0</v>
      </c>
      <c r="J117" s="46">
        <v>0</v>
      </c>
      <c r="K117" s="46">
        <v>0</v>
      </c>
      <c r="L117" s="46">
        <v>0</v>
      </c>
      <c r="M117" s="46">
        <f>N117+P117</f>
        <v>12500</v>
      </c>
      <c r="N117" s="46">
        <v>12500</v>
      </c>
      <c r="O117" s="46">
        <v>0</v>
      </c>
      <c r="P117" s="46">
        <v>0</v>
      </c>
      <c r="Q117" s="56"/>
      <c r="R117" s="56"/>
      <c r="S117" s="32"/>
      <c r="T117" s="32"/>
      <c r="U117" s="32"/>
    </row>
    <row r="118" spans="1:21" s="26" customFormat="1" ht="13.5" hidden="1" customHeight="1">
      <c r="A118" s="893"/>
      <c r="B118" s="889"/>
      <c r="C118" s="81" t="s">
        <v>14</v>
      </c>
      <c r="D118" s="45">
        <f>E118+M118</f>
        <v>0</v>
      </c>
      <c r="E118" s="46">
        <f>F118+I118+J118+K118+L118</f>
        <v>0</v>
      </c>
      <c r="F118" s="46">
        <f>G118+H118</f>
        <v>0</v>
      </c>
      <c r="G118" s="46"/>
      <c r="H118" s="46"/>
      <c r="I118" s="46"/>
      <c r="J118" s="46"/>
      <c r="K118" s="46"/>
      <c r="L118" s="46"/>
      <c r="M118" s="46">
        <f>N118+P118</f>
        <v>0</v>
      </c>
      <c r="N118" s="46"/>
      <c r="O118" s="46"/>
      <c r="P118" s="46"/>
      <c r="Q118" s="56"/>
      <c r="R118" s="56"/>
      <c r="S118" s="32"/>
      <c r="T118" s="32"/>
      <c r="U118" s="32"/>
    </row>
    <row r="119" spans="1:21" s="26" customFormat="1" ht="13.5" hidden="1" customHeight="1">
      <c r="A119" s="894"/>
      <c r="B119" s="890"/>
      <c r="C119" s="81" t="s">
        <v>15</v>
      </c>
      <c r="D119" s="45">
        <f>D117+D118</f>
        <v>162500</v>
      </c>
      <c r="E119" s="46">
        <f t="shared" ref="E119:P119" si="51">E117+E118</f>
        <v>150000</v>
      </c>
      <c r="F119" s="46">
        <f t="shared" si="51"/>
        <v>150000</v>
      </c>
      <c r="G119" s="46">
        <f t="shared" si="51"/>
        <v>0</v>
      </c>
      <c r="H119" s="46">
        <f t="shared" si="51"/>
        <v>150000</v>
      </c>
      <c r="I119" s="46">
        <f t="shared" si="51"/>
        <v>0</v>
      </c>
      <c r="J119" s="46">
        <f t="shared" si="51"/>
        <v>0</v>
      </c>
      <c r="K119" s="46">
        <f t="shared" si="51"/>
        <v>0</v>
      </c>
      <c r="L119" s="46">
        <f t="shared" si="51"/>
        <v>0</v>
      </c>
      <c r="M119" s="46">
        <f t="shared" si="51"/>
        <v>12500</v>
      </c>
      <c r="N119" s="46">
        <f t="shared" si="51"/>
        <v>12500</v>
      </c>
      <c r="O119" s="46">
        <f t="shared" si="51"/>
        <v>0</v>
      </c>
      <c r="P119" s="46">
        <f t="shared" si="51"/>
        <v>0</v>
      </c>
      <c r="Q119" s="56"/>
      <c r="R119" s="56"/>
      <c r="S119" s="32"/>
      <c r="T119" s="32"/>
      <c r="U119" s="32"/>
    </row>
    <row r="120" spans="1:21" s="26" customFormat="1" ht="14.85" customHeight="1">
      <c r="A120" s="913">
        <v>71095</v>
      </c>
      <c r="B120" s="888" t="s">
        <v>51</v>
      </c>
      <c r="C120" s="81" t="s">
        <v>13</v>
      </c>
      <c r="D120" s="45">
        <f>E120+M120</f>
        <v>0</v>
      </c>
      <c r="E120" s="46">
        <f>F120+I120+J120+K120+L120</f>
        <v>0</v>
      </c>
      <c r="F120" s="46">
        <f>G120+H120</f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f>N120+P120</f>
        <v>0</v>
      </c>
      <c r="N120" s="46">
        <v>0</v>
      </c>
      <c r="O120" s="46">
        <v>0</v>
      </c>
      <c r="P120" s="46">
        <v>0</v>
      </c>
      <c r="Q120" s="56"/>
      <c r="R120" s="56"/>
      <c r="S120" s="32"/>
      <c r="T120" s="32"/>
      <c r="U120" s="32"/>
    </row>
    <row r="121" spans="1:21" s="26" customFormat="1" ht="14.85" customHeight="1">
      <c r="A121" s="914"/>
      <c r="B121" s="889"/>
      <c r="C121" s="81" t="s">
        <v>14</v>
      </c>
      <c r="D121" s="45">
        <f>E121+M121</f>
        <v>2152700</v>
      </c>
      <c r="E121" s="46">
        <f>F121+I121+J121+K121+L121</f>
        <v>0</v>
      </c>
      <c r="F121" s="46">
        <f>G121+H121</f>
        <v>0</v>
      </c>
      <c r="G121" s="46"/>
      <c r="H121" s="46"/>
      <c r="I121" s="46"/>
      <c r="J121" s="46"/>
      <c r="K121" s="46"/>
      <c r="L121" s="46"/>
      <c r="M121" s="46">
        <f>N121+P121</f>
        <v>2152700</v>
      </c>
      <c r="N121" s="46"/>
      <c r="O121" s="46"/>
      <c r="P121" s="46">
        <v>2152700</v>
      </c>
      <c r="Q121" s="56"/>
      <c r="R121" s="56"/>
      <c r="S121" s="32"/>
      <c r="T121" s="32"/>
      <c r="U121" s="32"/>
    </row>
    <row r="122" spans="1:21" s="26" customFormat="1" ht="14.85" customHeight="1">
      <c r="A122" s="915"/>
      <c r="B122" s="890"/>
      <c r="C122" s="81" t="s">
        <v>15</v>
      </c>
      <c r="D122" s="45">
        <f>D120+D121</f>
        <v>2152700</v>
      </c>
      <c r="E122" s="46">
        <f t="shared" ref="E122:P122" si="52">E120+E121</f>
        <v>0</v>
      </c>
      <c r="F122" s="46">
        <f t="shared" si="52"/>
        <v>0</v>
      </c>
      <c r="G122" s="46">
        <f t="shared" si="52"/>
        <v>0</v>
      </c>
      <c r="H122" s="46">
        <f t="shared" si="52"/>
        <v>0</v>
      </c>
      <c r="I122" s="46">
        <f t="shared" si="52"/>
        <v>0</v>
      </c>
      <c r="J122" s="46">
        <f t="shared" si="52"/>
        <v>0</v>
      </c>
      <c r="K122" s="46">
        <f t="shared" si="52"/>
        <v>0</v>
      </c>
      <c r="L122" s="46">
        <f t="shared" si="52"/>
        <v>0</v>
      </c>
      <c r="M122" s="46">
        <f t="shared" si="52"/>
        <v>2152700</v>
      </c>
      <c r="N122" s="46">
        <f t="shared" si="52"/>
        <v>0</v>
      </c>
      <c r="O122" s="46">
        <f t="shared" si="52"/>
        <v>0</v>
      </c>
      <c r="P122" s="46">
        <f t="shared" si="52"/>
        <v>2152700</v>
      </c>
      <c r="Q122" s="56"/>
      <c r="R122" s="56"/>
      <c r="S122" s="32"/>
      <c r="T122" s="32"/>
      <c r="U122" s="32"/>
    </row>
    <row r="123" spans="1:21" s="28" customFormat="1" ht="14.85" customHeight="1">
      <c r="A123" s="895" t="s">
        <v>69</v>
      </c>
      <c r="B123" s="880" t="s">
        <v>70</v>
      </c>
      <c r="C123" s="80" t="s">
        <v>13</v>
      </c>
      <c r="D123" s="51">
        <f t="shared" ref="D123:P124" si="53">D126</f>
        <v>70946798</v>
      </c>
      <c r="E123" s="52">
        <f t="shared" si="53"/>
        <v>6508571</v>
      </c>
      <c r="F123" s="52">
        <f t="shared" si="53"/>
        <v>1731905</v>
      </c>
      <c r="G123" s="52">
        <f t="shared" si="53"/>
        <v>0</v>
      </c>
      <c r="H123" s="52">
        <f t="shared" si="53"/>
        <v>1731905</v>
      </c>
      <c r="I123" s="52">
        <f t="shared" si="53"/>
        <v>0</v>
      </c>
      <c r="J123" s="52">
        <f t="shared" si="53"/>
        <v>0</v>
      </c>
      <c r="K123" s="52">
        <f t="shared" si="53"/>
        <v>4776666</v>
      </c>
      <c r="L123" s="52">
        <f t="shared" si="53"/>
        <v>0</v>
      </c>
      <c r="M123" s="52">
        <f t="shared" si="53"/>
        <v>64438227</v>
      </c>
      <c r="N123" s="52">
        <f t="shared" si="53"/>
        <v>62402176</v>
      </c>
      <c r="O123" s="52">
        <f>O126</f>
        <v>62145685</v>
      </c>
      <c r="P123" s="52">
        <f t="shared" si="53"/>
        <v>2036051</v>
      </c>
      <c r="Q123" s="69"/>
      <c r="R123" s="69"/>
      <c r="S123" s="34"/>
      <c r="T123" s="34"/>
      <c r="U123" s="34"/>
    </row>
    <row r="124" spans="1:21" s="28" customFormat="1" ht="14.85" customHeight="1">
      <c r="A124" s="896"/>
      <c r="B124" s="881"/>
      <c r="C124" s="80" t="s">
        <v>14</v>
      </c>
      <c r="D124" s="51">
        <f t="shared" si="53"/>
        <v>37532095</v>
      </c>
      <c r="E124" s="52">
        <f t="shared" si="53"/>
        <v>-99819</v>
      </c>
      <c r="F124" s="52">
        <f t="shared" si="53"/>
        <v>0</v>
      </c>
      <c r="G124" s="52">
        <f t="shared" si="53"/>
        <v>0</v>
      </c>
      <c r="H124" s="52">
        <f t="shared" si="53"/>
        <v>0</v>
      </c>
      <c r="I124" s="52">
        <f t="shared" si="53"/>
        <v>0</v>
      </c>
      <c r="J124" s="52">
        <f t="shared" si="53"/>
        <v>0</v>
      </c>
      <c r="K124" s="52">
        <f t="shared" si="53"/>
        <v>-99819</v>
      </c>
      <c r="L124" s="52">
        <f t="shared" si="53"/>
        <v>0</v>
      </c>
      <c r="M124" s="52">
        <f t="shared" si="53"/>
        <v>37631914</v>
      </c>
      <c r="N124" s="52">
        <f t="shared" si="53"/>
        <v>37631914</v>
      </c>
      <c r="O124" s="52">
        <f t="shared" si="53"/>
        <v>37172409</v>
      </c>
      <c r="P124" s="52">
        <f t="shared" si="53"/>
        <v>0</v>
      </c>
      <c r="Q124" s="69"/>
      <c r="R124" s="69"/>
      <c r="S124" s="34"/>
      <c r="T124" s="34"/>
      <c r="U124" s="34"/>
    </row>
    <row r="125" spans="1:21" s="28" customFormat="1" ht="14.85" customHeight="1">
      <c r="A125" s="897"/>
      <c r="B125" s="882"/>
      <c r="C125" s="80" t="s">
        <v>15</v>
      </c>
      <c r="D125" s="51">
        <f>D123+D124</f>
        <v>108478893</v>
      </c>
      <c r="E125" s="52">
        <f t="shared" ref="E125:P125" si="54">E123+E124</f>
        <v>6408752</v>
      </c>
      <c r="F125" s="52">
        <f t="shared" si="54"/>
        <v>1731905</v>
      </c>
      <c r="G125" s="52">
        <f t="shared" si="54"/>
        <v>0</v>
      </c>
      <c r="H125" s="52">
        <f t="shared" si="54"/>
        <v>1731905</v>
      </c>
      <c r="I125" s="52">
        <f t="shared" si="54"/>
        <v>0</v>
      </c>
      <c r="J125" s="52">
        <f t="shared" si="54"/>
        <v>0</v>
      </c>
      <c r="K125" s="52">
        <f t="shared" si="54"/>
        <v>4676847</v>
      </c>
      <c r="L125" s="52">
        <f t="shared" si="54"/>
        <v>0</v>
      </c>
      <c r="M125" s="52">
        <f t="shared" si="54"/>
        <v>102070141</v>
      </c>
      <c r="N125" s="52">
        <f t="shared" si="54"/>
        <v>100034090</v>
      </c>
      <c r="O125" s="52">
        <f t="shared" si="54"/>
        <v>99318094</v>
      </c>
      <c r="P125" s="52">
        <f t="shared" si="54"/>
        <v>2036051</v>
      </c>
      <c r="Q125" s="69"/>
      <c r="R125" s="69"/>
      <c r="S125" s="34"/>
      <c r="T125" s="34"/>
      <c r="U125" s="34"/>
    </row>
    <row r="126" spans="1:21" s="50" customFormat="1" ht="14.85" customHeight="1">
      <c r="A126" s="892" t="s">
        <v>71</v>
      </c>
      <c r="B126" s="888" t="s">
        <v>51</v>
      </c>
      <c r="C126" s="81" t="s">
        <v>13</v>
      </c>
      <c r="D126" s="45">
        <f>E126+M126</f>
        <v>70946798</v>
      </c>
      <c r="E126" s="46">
        <f>F126+I126+J126+K126+L126</f>
        <v>6508571</v>
      </c>
      <c r="F126" s="46">
        <f>G126+H126</f>
        <v>1731905</v>
      </c>
      <c r="G126" s="46">
        <v>0</v>
      </c>
      <c r="H126" s="46">
        <f>8900+565681+851263+22593+159708+123760</f>
        <v>1731905</v>
      </c>
      <c r="I126" s="46">
        <v>0</v>
      </c>
      <c r="J126" s="46">
        <v>0</v>
      </c>
      <c r="K126" s="46">
        <f>1154039+203655+120207+21214+265269+46812+37807+6671+259597+45811+21250+3750+7650+1350+51000+9000+1863710+328890+42500+7500+178061+31423+5525+975+9350+1650+44200+7800</f>
        <v>4776666</v>
      </c>
      <c r="L126" s="46">
        <v>0</v>
      </c>
      <c r="M126" s="46">
        <f>N126+P126</f>
        <v>64438227</v>
      </c>
      <c r="N126" s="46">
        <f>64438227-2036051</f>
        <v>62402176</v>
      </c>
      <c r="O126" s="46">
        <f>4842450+854550+1763466+311200+24089829+30284190</f>
        <v>62145685</v>
      </c>
      <c r="P126" s="46">
        <v>2036051</v>
      </c>
      <c r="Q126" s="74"/>
      <c r="R126" s="74"/>
      <c r="S126" s="49"/>
      <c r="T126" s="49"/>
      <c r="U126" s="49"/>
    </row>
    <row r="127" spans="1:21" s="50" customFormat="1" ht="14.85" customHeight="1">
      <c r="A127" s="893"/>
      <c r="B127" s="889"/>
      <c r="C127" s="81" t="s">
        <v>14</v>
      </c>
      <c r="D127" s="45">
        <f>E127+M127</f>
        <v>37532095</v>
      </c>
      <c r="E127" s="46">
        <f>F127+I127+J127+K127+L127</f>
        <v>-99819</v>
      </c>
      <c r="F127" s="46">
        <f>G127+H127</f>
        <v>0</v>
      </c>
      <c r="G127" s="46"/>
      <c r="H127" s="46"/>
      <c r="I127" s="46"/>
      <c r="J127" s="46"/>
      <c r="K127" s="46">
        <f>37880314-6989646-1191685-5337191-941857-13946358-459505-8765672-348219</f>
        <v>-99819</v>
      </c>
      <c r="L127" s="46"/>
      <c r="M127" s="46">
        <f>N127+P127</f>
        <v>37631914</v>
      </c>
      <c r="N127" s="46">
        <f>6989646+1191685+5337191+941857+13946358+459505+8765672</f>
        <v>37631914</v>
      </c>
      <c r="O127" s="46">
        <f>6989646+1191685+5337191+941857+13946358+8765672</f>
        <v>37172409</v>
      </c>
      <c r="P127" s="46"/>
      <c r="Q127" s="74"/>
      <c r="R127" s="74"/>
      <c r="S127" s="49"/>
      <c r="T127" s="49"/>
      <c r="U127" s="49"/>
    </row>
    <row r="128" spans="1:21" s="50" customFormat="1" ht="14.85" customHeight="1">
      <c r="A128" s="894"/>
      <c r="B128" s="890"/>
      <c r="C128" s="81" t="s">
        <v>15</v>
      </c>
      <c r="D128" s="45">
        <f>D126+D127</f>
        <v>108478893</v>
      </c>
      <c r="E128" s="46">
        <f t="shared" ref="E128:P128" si="55">E126+E127</f>
        <v>6408752</v>
      </c>
      <c r="F128" s="46">
        <f t="shared" si="55"/>
        <v>1731905</v>
      </c>
      <c r="G128" s="46">
        <f t="shared" si="55"/>
        <v>0</v>
      </c>
      <c r="H128" s="46">
        <f t="shared" si="55"/>
        <v>1731905</v>
      </c>
      <c r="I128" s="46">
        <f t="shared" si="55"/>
        <v>0</v>
      </c>
      <c r="J128" s="46">
        <f t="shared" si="55"/>
        <v>0</v>
      </c>
      <c r="K128" s="46">
        <f t="shared" si="55"/>
        <v>4676847</v>
      </c>
      <c r="L128" s="46">
        <f t="shared" si="55"/>
        <v>0</v>
      </c>
      <c r="M128" s="46">
        <f t="shared" si="55"/>
        <v>102070141</v>
      </c>
      <c r="N128" s="46">
        <f t="shared" si="55"/>
        <v>100034090</v>
      </c>
      <c r="O128" s="46">
        <f t="shared" si="55"/>
        <v>99318094</v>
      </c>
      <c r="P128" s="46">
        <f t="shared" si="55"/>
        <v>2036051</v>
      </c>
      <c r="Q128" s="74"/>
      <c r="R128" s="74"/>
      <c r="S128" s="49"/>
      <c r="T128" s="49"/>
      <c r="U128" s="49"/>
    </row>
    <row r="129" spans="1:21" s="28" customFormat="1" ht="14.25" hidden="1">
      <c r="A129" s="895" t="s">
        <v>198</v>
      </c>
      <c r="B129" s="880" t="s">
        <v>199</v>
      </c>
      <c r="C129" s="80" t="s">
        <v>13</v>
      </c>
      <c r="D129" s="51">
        <f t="shared" ref="D129:P130" si="56">D135+D132</f>
        <v>3650000</v>
      </c>
      <c r="E129" s="52">
        <f t="shared" si="56"/>
        <v>200000</v>
      </c>
      <c r="F129" s="52">
        <f t="shared" si="56"/>
        <v>0</v>
      </c>
      <c r="G129" s="52">
        <f t="shared" si="56"/>
        <v>0</v>
      </c>
      <c r="H129" s="52">
        <f t="shared" si="56"/>
        <v>0</v>
      </c>
      <c r="I129" s="52">
        <f t="shared" si="56"/>
        <v>200000</v>
      </c>
      <c r="J129" s="52">
        <f t="shared" si="56"/>
        <v>0</v>
      </c>
      <c r="K129" s="52">
        <f t="shared" si="56"/>
        <v>0</v>
      </c>
      <c r="L129" s="52">
        <f t="shared" si="56"/>
        <v>0</v>
      </c>
      <c r="M129" s="52">
        <f t="shared" si="56"/>
        <v>3450000</v>
      </c>
      <c r="N129" s="52">
        <f t="shared" si="56"/>
        <v>3450000</v>
      </c>
      <c r="O129" s="52">
        <f t="shared" si="56"/>
        <v>0</v>
      </c>
      <c r="P129" s="52">
        <f t="shared" si="56"/>
        <v>0</v>
      </c>
      <c r="Q129" s="69"/>
      <c r="R129" s="69"/>
      <c r="S129" s="34"/>
      <c r="T129" s="34"/>
      <c r="U129" s="34"/>
    </row>
    <row r="130" spans="1:21" s="28" customFormat="1" ht="14.25" hidden="1">
      <c r="A130" s="896"/>
      <c r="B130" s="881"/>
      <c r="C130" s="80" t="s">
        <v>14</v>
      </c>
      <c r="D130" s="51">
        <f t="shared" si="56"/>
        <v>0</v>
      </c>
      <c r="E130" s="52">
        <f t="shared" si="56"/>
        <v>0</v>
      </c>
      <c r="F130" s="52">
        <f t="shared" si="56"/>
        <v>0</v>
      </c>
      <c r="G130" s="52">
        <f t="shared" si="56"/>
        <v>0</v>
      </c>
      <c r="H130" s="52">
        <f t="shared" si="56"/>
        <v>0</v>
      </c>
      <c r="I130" s="52">
        <f t="shared" si="56"/>
        <v>0</v>
      </c>
      <c r="J130" s="52">
        <f t="shared" si="56"/>
        <v>0</v>
      </c>
      <c r="K130" s="52">
        <f t="shared" si="56"/>
        <v>0</v>
      </c>
      <c r="L130" s="52">
        <f t="shared" si="56"/>
        <v>0</v>
      </c>
      <c r="M130" s="52">
        <f t="shared" si="56"/>
        <v>0</v>
      </c>
      <c r="N130" s="52">
        <f t="shared" si="56"/>
        <v>0</v>
      </c>
      <c r="O130" s="52">
        <f t="shared" si="56"/>
        <v>0</v>
      </c>
      <c r="P130" s="52">
        <f t="shared" si="56"/>
        <v>0</v>
      </c>
      <c r="Q130" s="69"/>
      <c r="R130" s="69"/>
      <c r="S130" s="34"/>
      <c r="T130" s="34"/>
      <c r="U130" s="34"/>
    </row>
    <row r="131" spans="1:21" s="28" customFormat="1" ht="14.25" hidden="1">
      <c r="A131" s="897"/>
      <c r="B131" s="882"/>
      <c r="C131" s="80" t="s">
        <v>15</v>
      </c>
      <c r="D131" s="51">
        <f>D129+D130</f>
        <v>3650000</v>
      </c>
      <c r="E131" s="52">
        <f t="shared" ref="E131:P131" si="57">E129+E130</f>
        <v>200000</v>
      </c>
      <c r="F131" s="52">
        <f t="shared" si="57"/>
        <v>0</v>
      </c>
      <c r="G131" s="52">
        <f t="shared" si="57"/>
        <v>0</v>
      </c>
      <c r="H131" s="52">
        <f t="shared" si="57"/>
        <v>0</v>
      </c>
      <c r="I131" s="52">
        <f t="shared" si="57"/>
        <v>200000</v>
      </c>
      <c r="J131" s="52">
        <f t="shared" si="57"/>
        <v>0</v>
      </c>
      <c r="K131" s="52">
        <f t="shared" si="57"/>
        <v>0</v>
      </c>
      <c r="L131" s="52">
        <f t="shared" si="57"/>
        <v>0</v>
      </c>
      <c r="M131" s="52">
        <f t="shared" si="57"/>
        <v>3450000</v>
      </c>
      <c r="N131" s="52">
        <f t="shared" si="57"/>
        <v>3450000</v>
      </c>
      <c r="O131" s="52">
        <f t="shared" si="57"/>
        <v>0</v>
      </c>
      <c r="P131" s="52">
        <f t="shared" si="57"/>
        <v>0</v>
      </c>
      <c r="Q131" s="69"/>
      <c r="R131" s="69"/>
      <c r="S131" s="34"/>
      <c r="T131" s="34"/>
      <c r="U131" s="34"/>
    </row>
    <row r="132" spans="1:21" s="50" customFormat="1" ht="13.5" hidden="1" customHeight="1">
      <c r="A132" s="892" t="s">
        <v>200</v>
      </c>
      <c r="B132" s="888" t="s">
        <v>201</v>
      </c>
      <c r="C132" s="81" t="s">
        <v>13</v>
      </c>
      <c r="D132" s="45">
        <f>E132+M132</f>
        <v>200000</v>
      </c>
      <c r="E132" s="46">
        <f>F132+I132+J132+K132+L132</f>
        <v>200000</v>
      </c>
      <c r="F132" s="46">
        <f>G132+H132</f>
        <v>0</v>
      </c>
      <c r="G132" s="46">
        <v>0</v>
      </c>
      <c r="H132" s="46">
        <v>0</v>
      </c>
      <c r="I132" s="46">
        <v>200000</v>
      </c>
      <c r="J132" s="46">
        <v>0</v>
      </c>
      <c r="K132" s="46">
        <v>0</v>
      </c>
      <c r="L132" s="46">
        <v>0</v>
      </c>
      <c r="M132" s="46">
        <f>N132+P132</f>
        <v>0</v>
      </c>
      <c r="N132" s="46">
        <v>0</v>
      </c>
      <c r="O132" s="46">
        <v>0</v>
      </c>
      <c r="P132" s="46">
        <v>0</v>
      </c>
      <c r="Q132" s="74"/>
      <c r="R132" s="74"/>
      <c r="S132" s="49"/>
      <c r="T132" s="49"/>
      <c r="U132" s="49"/>
    </row>
    <row r="133" spans="1:21" s="50" customFormat="1" ht="13.5" hidden="1" customHeight="1">
      <c r="A133" s="893"/>
      <c r="B133" s="889"/>
      <c r="C133" s="81" t="s">
        <v>14</v>
      </c>
      <c r="D133" s="45">
        <f>E133+M133</f>
        <v>0</v>
      </c>
      <c r="E133" s="46">
        <f>F133+I133+J133+K133+L133</f>
        <v>0</v>
      </c>
      <c r="F133" s="46">
        <f>G133+H133</f>
        <v>0</v>
      </c>
      <c r="G133" s="46"/>
      <c r="H133" s="46"/>
      <c r="I133" s="46"/>
      <c r="J133" s="46"/>
      <c r="K133" s="46"/>
      <c r="L133" s="46"/>
      <c r="M133" s="46">
        <f>N133+P133</f>
        <v>0</v>
      </c>
      <c r="N133" s="46"/>
      <c r="O133" s="46"/>
      <c r="P133" s="46"/>
      <c r="Q133" s="74"/>
      <c r="R133" s="74"/>
      <c r="S133" s="49"/>
      <c r="T133" s="49"/>
      <c r="U133" s="49"/>
    </row>
    <row r="134" spans="1:21" s="50" customFormat="1" ht="13.5" hidden="1" customHeight="1">
      <c r="A134" s="894"/>
      <c r="B134" s="890"/>
      <c r="C134" s="81" t="s">
        <v>15</v>
      </c>
      <c r="D134" s="45">
        <f>D132+D133</f>
        <v>200000</v>
      </c>
      <c r="E134" s="46">
        <f t="shared" ref="E134:P134" si="58">E132+E133</f>
        <v>200000</v>
      </c>
      <c r="F134" s="46">
        <f t="shared" si="58"/>
        <v>0</v>
      </c>
      <c r="G134" s="46">
        <f t="shared" si="58"/>
        <v>0</v>
      </c>
      <c r="H134" s="46">
        <f t="shared" si="58"/>
        <v>0</v>
      </c>
      <c r="I134" s="46">
        <f t="shared" si="58"/>
        <v>200000</v>
      </c>
      <c r="J134" s="46">
        <f t="shared" si="58"/>
        <v>0</v>
      </c>
      <c r="K134" s="46">
        <f t="shared" si="58"/>
        <v>0</v>
      </c>
      <c r="L134" s="46">
        <f t="shared" si="58"/>
        <v>0</v>
      </c>
      <c r="M134" s="46">
        <f t="shared" si="58"/>
        <v>0</v>
      </c>
      <c r="N134" s="46">
        <f t="shared" si="58"/>
        <v>0</v>
      </c>
      <c r="O134" s="46">
        <f t="shared" si="58"/>
        <v>0</v>
      </c>
      <c r="P134" s="46">
        <f t="shared" si="58"/>
        <v>0</v>
      </c>
      <c r="Q134" s="74"/>
      <c r="R134" s="74"/>
      <c r="S134" s="49"/>
      <c r="T134" s="49"/>
      <c r="U134" s="49"/>
    </row>
    <row r="135" spans="1:21" s="50" customFormat="1" ht="13.5" hidden="1" customHeight="1">
      <c r="A135" s="892" t="s">
        <v>202</v>
      </c>
      <c r="B135" s="888" t="s">
        <v>51</v>
      </c>
      <c r="C135" s="81" t="s">
        <v>13</v>
      </c>
      <c r="D135" s="45">
        <f>E135+M135</f>
        <v>3450000</v>
      </c>
      <c r="E135" s="46">
        <f>F135+I135+J135+K135+L135</f>
        <v>0</v>
      </c>
      <c r="F135" s="46">
        <f>G135+H135</f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f>N135+P135</f>
        <v>3450000</v>
      </c>
      <c r="N135" s="46">
        <v>3450000</v>
      </c>
      <c r="O135" s="46">
        <v>0</v>
      </c>
      <c r="P135" s="46">
        <v>0</v>
      </c>
      <c r="Q135" s="74"/>
      <c r="R135" s="74"/>
      <c r="S135" s="49"/>
      <c r="T135" s="49"/>
      <c r="U135" s="49"/>
    </row>
    <row r="136" spans="1:21" s="50" customFormat="1" ht="13.5" hidden="1" customHeight="1">
      <c r="A136" s="893"/>
      <c r="B136" s="889"/>
      <c r="C136" s="81" t="s">
        <v>14</v>
      </c>
      <c r="D136" s="45">
        <f>E136+M136</f>
        <v>0</v>
      </c>
      <c r="E136" s="46">
        <f>F136+I136+J136+K136+L136</f>
        <v>0</v>
      </c>
      <c r="F136" s="46">
        <f>G136+H136</f>
        <v>0</v>
      </c>
      <c r="G136" s="46"/>
      <c r="H136" s="46"/>
      <c r="I136" s="46"/>
      <c r="J136" s="46"/>
      <c r="K136" s="46"/>
      <c r="L136" s="46"/>
      <c r="M136" s="46">
        <f>N136+P136</f>
        <v>0</v>
      </c>
      <c r="N136" s="46"/>
      <c r="O136" s="46"/>
      <c r="P136" s="46"/>
      <c r="Q136" s="74"/>
      <c r="R136" s="74"/>
      <c r="S136" s="49"/>
      <c r="T136" s="49"/>
      <c r="U136" s="49"/>
    </row>
    <row r="137" spans="1:21" s="50" customFormat="1" ht="13.5" hidden="1" customHeight="1">
      <c r="A137" s="894"/>
      <c r="B137" s="890"/>
      <c r="C137" s="81" t="s">
        <v>15</v>
      </c>
      <c r="D137" s="45">
        <f>D135+D136</f>
        <v>3450000</v>
      </c>
      <c r="E137" s="46">
        <f t="shared" ref="E137:P137" si="59">E135+E136</f>
        <v>0</v>
      </c>
      <c r="F137" s="46">
        <f t="shared" si="59"/>
        <v>0</v>
      </c>
      <c r="G137" s="46">
        <f t="shared" si="59"/>
        <v>0</v>
      </c>
      <c r="H137" s="46">
        <f t="shared" si="59"/>
        <v>0</v>
      </c>
      <c r="I137" s="46">
        <f t="shared" si="59"/>
        <v>0</v>
      </c>
      <c r="J137" s="46">
        <f t="shared" si="59"/>
        <v>0</v>
      </c>
      <c r="K137" s="46">
        <f t="shared" si="59"/>
        <v>0</v>
      </c>
      <c r="L137" s="46">
        <f t="shared" si="59"/>
        <v>0</v>
      </c>
      <c r="M137" s="46">
        <f t="shared" si="59"/>
        <v>3450000</v>
      </c>
      <c r="N137" s="46">
        <f t="shared" si="59"/>
        <v>3450000</v>
      </c>
      <c r="O137" s="46">
        <f t="shared" si="59"/>
        <v>0</v>
      </c>
      <c r="P137" s="46">
        <f t="shared" si="59"/>
        <v>0</v>
      </c>
      <c r="Q137" s="74"/>
      <c r="R137" s="74"/>
      <c r="S137" s="49"/>
      <c r="T137" s="49"/>
      <c r="U137" s="49"/>
    </row>
    <row r="138" spans="1:21" s="28" customFormat="1" ht="14.85" customHeight="1">
      <c r="A138" s="895" t="s">
        <v>28</v>
      </c>
      <c r="B138" s="880" t="s">
        <v>29</v>
      </c>
      <c r="C138" s="80" t="s">
        <v>13</v>
      </c>
      <c r="D138" s="43">
        <f t="shared" ref="D138:P139" si="60">D141+D144+D147+D150+D156+D153</f>
        <v>147641771</v>
      </c>
      <c r="E138" s="44">
        <f t="shared" si="60"/>
        <v>142603396</v>
      </c>
      <c r="F138" s="44">
        <f t="shared" si="60"/>
        <v>55554585</v>
      </c>
      <c r="G138" s="44">
        <f t="shared" si="60"/>
        <v>37110300</v>
      </c>
      <c r="H138" s="44">
        <f t="shared" si="60"/>
        <v>18444285</v>
      </c>
      <c r="I138" s="44">
        <f t="shared" si="60"/>
        <v>135000</v>
      </c>
      <c r="J138" s="44">
        <f t="shared" si="60"/>
        <v>1343000</v>
      </c>
      <c r="K138" s="44">
        <f t="shared" si="60"/>
        <v>85570811</v>
      </c>
      <c r="L138" s="44">
        <f t="shared" si="60"/>
        <v>0</v>
      </c>
      <c r="M138" s="44">
        <f t="shared" si="60"/>
        <v>5038375</v>
      </c>
      <c r="N138" s="44">
        <f t="shared" si="60"/>
        <v>5038375</v>
      </c>
      <c r="O138" s="44">
        <f t="shared" si="60"/>
        <v>180000</v>
      </c>
      <c r="P138" s="44">
        <f t="shared" si="60"/>
        <v>0</v>
      </c>
      <c r="Q138" s="69"/>
      <c r="R138" s="69"/>
      <c r="S138" s="34"/>
      <c r="T138" s="34"/>
      <c r="U138" s="34"/>
    </row>
    <row r="139" spans="1:21" s="28" customFormat="1" ht="14.85" customHeight="1">
      <c r="A139" s="896"/>
      <c r="B139" s="881"/>
      <c r="C139" s="80" t="s">
        <v>14</v>
      </c>
      <c r="D139" s="43">
        <f t="shared" si="60"/>
        <v>-1325734</v>
      </c>
      <c r="E139" s="44">
        <f t="shared" si="60"/>
        <v>-1325734</v>
      </c>
      <c r="F139" s="44">
        <f t="shared" si="60"/>
        <v>-800000</v>
      </c>
      <c r="G139" s="44">
        <f t="shared" si="60"/>
        <v>0</v>
      </c>
      <c r="H139" s="44">
        <f t="shared" si="60"/>
        <v>-800000</v>
      </c>
      <c r="I139" s="44">
        <f t="shared" si="60"/>
        <v>0</v>
      </c>
      <c r="J139" s="44">
        <f t="shared" si="60"/>
        <v>0</v>
      </c>
      <c r="K139" s="44">
        <f t="shared" si="60"/>
        <v>-525734</v>
      </c>
      <c r="L139" s="44">
        <f t="shared" si="60"/>
        <v>0</v>
      </c>
      <c r="M139" s="44">
        <f t="shared" si="60"/>
        <v>0</v>
      </c>
      <c r="N139" s="44">
        <f t="shared" si="60"/>
        <v>0</v>
      </c>
      <c r="O139" s="44">
        <f t="shared" si="60"/>
        <v>0</v>
      </c>
      <c r="P139" s="44">
        <f t="shared" si="60"/>
        <v>0</v>
      </c>
      <c r="Q139" s="69"/>
      <c r="R139" s="69"/>
      <c r="S139" s="34"/>
      <c r="T139" s="34"/>
      <c r="U139" s="34"/>
    </row>
    <row r="140" spans="1:21" s="28" customFormat="1" ht="14.85" customHeight="1">
      <c r="A140" s="897"/>
      <c r="B140" s="882"/>
      <c r="C140" s="80" t="s">
        <v>15</v>
      </c>
      <c r="D140" s="43">
        <f>D138+D139</f>
        <v>146316037</v>
      </c>
      <c r="E140" s="44">
        <f t="shared" ref="E140:P140" si="61">E138+E139</f>
        <v>141277662</v>
      </c>
      <c r="F140" s="44">
        <f t="shared" si="61"/>
        <v>54754585</v>
      </c>
      <c r="G140" s="44">
        <f t="shared" si="61"/>
        <v>37110300</v>
      </c>
      <c r="H140" s="44">
        <f t="shared" si="61"/>
        <v>17644285</v>
      </c>
      <c r="I140" s="44">
        <f t="shared" si="61"/>
        <v>135000</v>
      </c>
      <c r="J140" s="44">
        <f t="shared" si="61"/>
        <v>1343000</v>
      </c>
      <c r="K140" s="44">
        <f t="shared" si="61"/>
        <v>85045077</v>
      </c>
      <c r="L140" s="44">
        <f t="shared" si="61"/>
        <v>0</v>
      </c>
      <c r="M140" s="44">
        <f t="shared" si="61"/>
        <v>5038375</v>
      </c>
      <c r="N140" s="44">
        <f t="shared" si="61"/>
        <v>5038375</v>
      </c>
      <c r="O140" s="44">
        <f t="shared" si="61"/>
        <v>180000</v>
      </c>
      <c r="P140" s="44">
        <f t="shared" si="61"/>
        <v>0</v>
      </c>
      <c r="Q140" s="69"/>
      <c r="R140" s="69"/>
      <c r="S140" s="34"/>
      <c r="T140" s="34"/>
      <c r="U140" s="34"/>
    </row>
    <row r="141" spans="1:21" s="50" customFormat="1" ht="13.5" hidden="1" customHeight="1">
      <c r="A141" s="892" t="s">
        <v>118</v>
      </c>
      <c r="B141" s="888" t="s">
        <v>119</v>
      </c>
      <c r="C141" s="81" t="s">
        <v>13</v>
      </c>
      <c r="D141" s="45">
        <f t="shared" ref="D141:D157" si="62">E141+M141</f>
        <v>1444000</v>
      </c>
      <c r="E141" s="46">
        <f t="shared" ref="E141:E157" si="63">F141+I141+J141+K141+L141</f>
        <v>1444000</v>
      </c>
      <c r="F141" s="46">
        <f t="shared" ref="F141:F157" si="64">G141+H141</f>
        <v>344000</v>
      </c>
      <c r="G141" s="46">
        <v>40000</v>
      </c>
      <c r="H141" s="46">
        <f>15000+58000+30000+4000+170000+10000+2000+3000+10000+2000</f>
        <v>304000</v>
      </c>
      <c r="I141" s="46">
        <v>0</v>
      </c>
      <c r="J141" s="46">
        <v>1100000</v>
      </c>
      <c r="K141" s="46">
        <v>0</v>
      </c>
      <c r="L141" s="46">
        <v>0</v>
      </c>
      <c r="M141" s="46">
        <f t="shared" ref="M141:M157" si="65">N141+P141</f>
        <v>0</v>
      </c>
      <c r="N141" s="46">
        <v>0</v>
      </c>
      <c r="O141" s="46">
        <v>0</v>
      </c>
      <c r="P141" s="46">
        <v>0</v>
      </c>
      <c r="Q141" s="74"/>
      <c r="R141" s="74"/>
      <c r="S141" s="49"/>
      <c r="T141" s="49"/>
      <c r="U141" s="49"/>
    </row>
    <row r="142" spans="1:21" s="50" customFormat="1" ht="13.5" hidden="1" customHeight="1">
      <c r="A142" s="893"/>
      <c r="B142" s="889"/>
      <c r="C142" s="81" t="s">
        <v>14</v>
      </c>
      <c r="D142" s="45">
        <f t="shared" si="62"/>
        <v>0</v>
      </c>
      <c r="E142" s="46">
        <f t="shared" si="63"/>
        <v>0</v>
      </c>
      <c r="F142" s="46">
        <f t="shared" si="64"/>
        <v>0</v>
      </c>
      <c r="G142" s="46"/>
      <c r="H142" s="46"/>
      <c r="I142" s="46"/>
      <c r="J142" s="46"/>
      <c r="K142" s="46"/>
      <c r="L142" s="46"/>
      <c r="M142" s="46">
        <f t="shared" si="65"/>
        <v>0</v>
      </c>
      <c r="N142" s="46"/>
      <c r="O142" s="46"/>
      <c r="P142" s="46"/>
      <c r="Q142" s="74"/>
      <c r="R142" s="74"/>
      <c r="S142" s="49"/>
      <c r="T142" s="49"/>
      <c r="U142" s="49"/>
    </row>
    <row r="143" spans="1:21" s="50" customFormat="1" ht="13.5" hidden="1" customHeight="1">
      <c r="A143" s="894"/>
      <c r="B143" s="890"/>
      <c r="C143" s="81" t="s">
        <v>15</v>
      </c>
      <c r="D143" s="45">
        <f>D141+D142</f>
        <v>1444000</v>
      </c>
      <c r="E143" s="46">
        <f t="shared" ref="E143:P143" si="66">E141+E142</f>
        <v>1444000</v>
      </c>
      <c r="F143" s="46">
        <f t="shared" si="66"/>
        <v>344000</v>
      </c>
      <c r="G143" s="46">
        <f t="shared" si="66"/>
        <v>40000</v>
      </c>
      <c r="H143" s="46">
        <f t="shared" si="66"/>
        <v>304000</v>
      </c>
      <c r="I143" s="46">
        <f t="shared" si="66"/>
        <v>0</v>
      </c>
      <c r="J143" s="46">
        <f t="shared" si="66"/>
        <v>1100000</v>
      </c>
      <c r="K143" s="46">
        <f t="shared" si="66"/>
        <v>0</v>
      </c>
      <c r="L143" s="46">
        <f t="shared" si="66"/>
        <v>0</v>
      </c>
      <c r="M143" s="46">
        <f t="shared" si="66"/>
        <v>0</v>
      </c>
      <c r="N143" s="46">
        <f t="shared" si="66"/>
        <v>0</v>
      </c>
      <c r="O143" s="46">
        <f t="shared" si="66"/>
        <v>0</v>
      </c>
      <c r="P143" s="46">
        <f t="shared" si="66"/>
        <v>0</v>
      </c>
      <c r="Q143" s="74"/>
      <c r="R143" s="74"/>
      <c r="S143" s="49"/>
      <c r="T143" s="49"/>
      <c r="U143" s="49"/>
    </row>
    <row r="144" spans="1:21" s="50" customFormat="1" ht="14.85" customHeight="1">
      <c r="A144" s="892" t="s">
        <v>30</v>
      </c>
      <c r="B144" s="888" t="s">
        <v>120</v>
      </c>
      <c r="C144" s="81" t="s">
        <v>13</v>
      </c>
      <c r="D144" s="45">
        <f t="shared" si="62"/>
        <v>112359971</v>
      </c>
      <c r="E144" s="46">
        <f t="shared" si="63"/>
        <v>107321596</v>
      </c>
      <c r="F144" s="46">
        <f t="shared" si="64"/>
        <v>45787285</v>
      </c>
      <c r="G144" s="46">
        <v>36865000</v>
      </c>
      <c r="H144" s="46">
        <v>8922285</v>
      </c>
      <c r="I144" s="46">
        <v>0</v>
      </c>
      <c r="J144" s="46">
        <v>76000</v>
      </c>
      <c r="K144" s="46">
        <f>17000+3000+12750+2250+26242560+4631040+1994440+351960+5134000+906000+629000+111000+939250+165750+51000+9000+807925+142575+23800+4200+736950+130050+4250+750+8500+1500+11561539+2040272+153000+27000+12750+2250+1793500+316500+1105000+195000+59500+10500+165750+29250+33150+5850+212500+37500+541450+95550</f>
        <v>61458311</v>
      </c>
      <c r="L144" s="46">
        <v>0</v>
      </c>
      <c r="M144" s="46">
        <f t="shared" si="65"/>
        <v>5038375</v>
      </c>
      <c r="N144" s="46">
        <v>5038375</v>
      </c>
      <c r="O144" s="46">
        <v>180000</v>
      </c>
      <c r="P144" s="46">
        <v>0</v>
      </c>
      <c r="Q144" s="74"/>
      <c r="R144" s="74"/>
      <c r="S144" s="49"/>
      <c r="T144" s="49"/>
      <c r="U144" s="49"/>
    </row>
    <row r="145" spans="1:21" s="50" customFormat="1" ht="14.85" customHeight="1">
      <c r="A145" s="893"/>
      <c r="B145" s="889"/>
      <c r="C145" s="81" t="s">
        <v>14</v>
      </c>
      <c r="D145" s="45">
        <f t="shared" si="62"/>
        <v>-298482</v>
      </c>
      <c r="E145" s="46">
        <f t="shared" si="63"/>
        <v>-298482</v>
      </c>
      <c r="F145" s="46">
        <f t="shared" si="64"/>
        <v>0</v>
      </c>
      <c r="G145" s="46"/>
      <c r="H145" s="46"/>
      <c r="I145" s="46"/>
      <c r="J145" s="46"/>
      <c r="K145" s="46">
        <v>-298482</v>
      </c>
      <c r="L145" s="46"/>
      <c r="M145" s="46">
        <f t="shared" si="65"/>
        <v>0</v>
      </c>
      <c r="N145" s="46"/>
      <c r="O145" s="46"/>
      <c r="P145" s="46"/>
      <c r="Q145" s="74"/>
      <c r="R145" s="74"/>
      <c r="S145" s="49"/>
      <c r="T145" s="49"/>
      <c r="U145" s="49"/>
    </row>
    <row r="146" spans="1:21" s="50" customFormat="1" ht="14.85" customHeight="1">
      <c r="A146" s="894"/>
      <c r="B146" s="890"/>
      <c r="C146" s="81" t="s">
        <v>15</v>
      </c>
      <c r="D146" s="45">
        <f>D144+D145</f>
        <v>112061489</v>
      </c>
      <c r="E146" s="46">
        <f t="shared" ref="E146:P146" si="67">E144+E145</f>
        <v>107023114</v>
      </c>
      <c r="F146" s="46">
        <f t="shared" si="67"/>
        <v>45787285</v>
      </c>
      <c r="G146" s="46">
        <f t="shared" si="67"/>
        <v>36865000</v>
      </c>
      <c r="H146" s="46">
        <f t="shared" si="67"/>
        <v>8922285</v>
      </c>
      <c r="I146" s="46">
        <f t="shared" si="67"/>
        <v>0</v>
      </c>
      <c r="J146" s="46">
        <f t="shared" si="67"/>
        <v>76000</v>
      </c>
      <c r="K146" s="46">
        <f t="shared" si="67"/>
        <v>61159829</v>
      </c>
      <c r="L146" s="46">
        <f t="shared" si="67"/>
        <v>0</v>
      </c>
      <c r="M146" s="46">
        <f t="shared" si="67"/>
        <v>5038375</v>
      </c>
      <c r="N146" s="46">
        <f t="shared" si="67"/>
        <v>5038375</v>
      </c>
      <c r="O146" s="46">
        <f t="shared" si="67"/>
        <v>180000</v>
      </c>
      <c r="P146" s="46">
        <f t="shared" si="67"/>
        <v>0</v>
      </c>
      <c r="Q146" s="74"/>
      <c r="R146" s="74"/>
      <c r="S146" s="49"/>
      <c r="T146" s="49"/>
      <c r="U146" s="49"/>
    </row>
    <row r="147" spans="1:21" s="26" customFormat="1" hidden="1">
      <c r="A147" s="892" t="s">
        <v>121</v>
      </c>
      <c r="B147" s="888" t="s">
        <v>122</v>
      </c>
      <c r="C147" s="81" t="s">
        <v>13</v>
      </c>
      <c r="D147" s="45">
        <f t="shared" si="62"/>
        <v>450000</v>
      </c>
      <c r="E147" s="46">
        <f t="shared" si="63"/>
        <v>450000</v>
      </c>
      <c r="F147" s="46">
        <f t="shared" si="64"/>
        <v>450000</v>
      </c>
      <c r="G147" s="46">
        <v>3000</v>
      </c>
      <c r="H147" s="46">
        <f>12000+3300+14100+24000+17500+800+153300+5000+214000+2500+500</f>
        <v>447000</v>
      </c>
      <c r="I147" s="46">
        <v>0</v>
      </c>
      <c r="J147" s="46">
        <v>0</v>
      </c>
      <c r="K147" s="46">
        <v>0</v>
      </c>
      <c r="L147" s="46">
        <v>0</v>
      </c>
      <c r="M147" s="46">
        <f t="shared" si="65"/>
        <v>0</v>
      </c>
      <c r="N147" s="46">
        <v>0</v>
      </c>
      <c r="O147" s="46">
        <v>0</v>
      </c>
      <c r="P147" s="46">
        <v>0</v>
      </c>
      <c r="Q147" s="56"/>
      <c r="R147" s="56"/>
      <c r="S147" s="32"/>
      <c r="T147" s="32"/>
      <c r="U147" s="32"/>
    </row>
    <row r="148" spans="1:21" s="26" customFormat="1" hidden="1">
      <c r="A148" s="893"/>
      <c r="B148" s="889"/>
      <c r="C148" s="81" t="s">
        <v>14</v>
      </c>
      <c r="D148" s="45">
        <f t="shared" si="62"/>
        <v>0</v>
      </c>
      <c r="E148" s="46">
        <f t="shared" si="63"/>
        <v>0</v>
      </c>
      <c r="F148" s="46">
        <f t="shared" si="64"/>
        <v>0</v>
      </c>
      <c r="G148" s="46"/>
      <c r="H148" s="46"/>
      <c r="I148" s="46"/>
      <c r="J148" s="46"/>
      <c r="K148" s="46"/>
      <c r="L148" s="46"/>
      <c r="M148" s="46">
        <f t="shared" si="65"/>
        <v>0</v>
      </c>
      <c r="N148" s="46"/>
      <c r="O148" s="46"/>
      <c r="P148" s="46"/>
      <c r="Q148" s="56"/>
      <c r="R148" s="56"/>
      <c r="S148" s="32"/>
      <c r="T148" s="32"/>
      <c r="U148" s="32"/>
    </row>
    <row r="149" spans="1:21" s="26" customFormat="1" hidden="1">
      <c r="A149" s="894"/>
      <c r="B149" s="890"/>
      <c r="C149" s="81" t="s">
        <v>15</v>
      </c>
      <c r="D149" s="45">
        <f>D147+D148</f>
        <v>450000</v>
      </c>
      <c r="E149" s="46">
        <f t="shared" ref="E149:P149" si="68">E147+E148</f>
        <v>450000</v>
      </c>
      <c r="F149" s="46">
        <f t="shared" si="68"/>
        <v>450000</v>
      </c>
      <c r="G149" s="46">
        <f t="shared" si="68"/>
        <v>3000</v>
      </c>
      <c r="H149" s="46">
        <f t="shared" si="68"/>
        <v>447000</v>
      </c>
      <c r="I149" s="46">
        <f t="shared" si="68"/>
        <v>0</v>
      </c>
      <c r="J149" s="46">
        <f t="shared" si="68"/>
        <v>0</v>
      </c>
      <c r="K149" s="46">
        <f t="shared" si="68"/>
        <v>0</v>
      </c>
      <c r="L149" s="46">
        <f t="shared" si="68"/>
        <v>0</v>
      </c>
      <c r="M149" s="46">
        <f t="shared" si="68"/>
        <v>0</v>
      </c>
      <c r="N149" s="46">
        <f t="shared" si="68"/>
        <v>0</v>
      </c>
      <c r="O149" s="46">
        <f t="shared" si="68"/>
        <v>0</v>
      </c>
      <c r="P149" s="46">
        <f t="shared" si="68"/>
        <v>0</v>
      </c>
      <c r="Q149" s="56"/>
      <c r="R149" s="56"/>
      <c r="S149" s="32"/>
      <c r="T149" s="32"/>
      <c r="U149" s="32"/>
    </row>
    <row r="150" spans="1:21" s="50" customFormat="1" ht="14.85" customHeight="1">
      <c r="A150" s="892" t="s">
        <v>123</v>
      </c>
      <c r="B150" s="888" t="s">
        <v>124</v>
      </c>
      <c r="C150" s="81" t="s">
        <v>13</v>
      </c>
      <c r="D150" s="45">
        <f t="shared" si="62"/>
        <v>29177732</v>
      </c>
      <c r="E150" s="46">
        <f t="shared" si="63"/>
        <v>29177732</v>
      </c>
      <c r="F150" s="46">
        <f t="shared" si="64"/>
        <v>7127500</v>
      </c>
      <c r="G150" s="46">
        <v>100000</v>
      </c>
      <c r="H150" s="46">
        <v>7027500</v>
      </c>
      <c r="I150" s="46">
        <v>0</v>
      </c>
      <c r="J150" s="46">
        <v>0</v>
      </c>
      <c r="K150" s="46">
        <f>29350232-100000-50000-300000-40000-6768000-2000-20000-20000</f>
        <v>22050232</v>
      </c>
      <c r="L150" s="46">
        <v>0</v>
      </c>
      <c r="M150" s="46">
        <f t="shared" si="65"/>
        <v>0</v>
      </c>
      <c r="N150" s="46">
        <v>0</v>
      </c>
      <c r="O150" s="46">
        <v>0</v>
      </c>
      <c r="P150" s="46">
        <v>0</v>
      </c>
      <c r="Q150" s="74"/>
      <c r="R150" s="74"/>
      <c r="S150" s="49"/>
      <c r="T150" s="49"/>
      <c r="U150" s="49"/>
    </row>
    <row r="151" spans="1:21" s="50" customFormat="1" ht="14.85" customHeight="1">
      <c r="A151" s="893"/>
      <c r="B151" s="889"/>
      <c r="C151" s="81" t="s">
        <v>14</v>
      </c>
      <c r="D151" s="45">
        <f t="shared" si="62"/>
        <v>-1027252</v>
      </c>
      <c r="E151" s="46">
        <f t="shared" si="63"/>
        <v>-1027252</v>
      </c>
      <c r="F151" s="46">
        <f t="shared" si="64"/>
        <v>-800000</v>
      </c>
      <c r="G151" s="46"/>
      <c r="H151" s="46">
        <f>-800000</f>
        <v>-800000</v>
      </c>
      <c r="I151" s="46"/>
      <c r="J151" s="46"/>
      <c r="K151" s="46">
        <f>-1594351+10518+1856+461+81+914999+446915-6546-1185</f>
        <v>-227252</v>
      </c>
      <c r="L151" s="46"/>
      <c r="M151" s="46">
        <f t="shared" si="65"/>
        <v>0</v>
      </c>
      <c r="N151" s="46"/>
      <c r="O151" s="46"/>
      <c r="P151" s="46"/>
      <c r="Q151" s="74"/>
      <c r="R151" s="74"/>
      <c r="S151" s="49"/>
      <c r="T151" s="49"/>
      <c r="U151" s="49"/>
    </row>
    <row r="152" spans="1:21" s="50" customFormat="1" ht="14.85" customHeight="1">
      <c r="A152" s="894"/>
      <c r="B152" s="890"/>
      <c r="C152" s="81" t="s">
        <v>15</v>
      </c>
      <c r="D152" s="45">
        <f>D150+D151</f>
        <v>28150480</v>
      </c>
      <c r="E152" s="46">
        <f t="shared" ref="E152:P152" si="69">E150+E151</f>
        <v>28150480</v>
      </c>
      <c r="F152" s="46">
        <f t="shared" si="69"/>
        <v>6327500</v>
      </c>
      <c r="G152" s="46">
        <f t="shared" si="69"/>
        <v>100000</v>
      </c>
      <c r="H152" s="46">
        <f t="shared" si="69"/>
        <v>6227500</v>
      </c>
      <c r="I152" s="46">
        <f t="shared" si="69"/>
        <v>0</v>
      </c>
      <c r="J152" s="46">
        <f t="shared" si="69"/>
        <v>0</v>
      </c>
      <c r="K152" s="46">
        <f t="shared" si="69"/>
        <v>21822980</v>
      </c>
      <c r="L152" s="46">
        <f t="shared" si="69"/>
        <v>0</v>
      </c>
      <c r="M152" s="46">
        <f t="shared" si="69"/>
        <v>0</v>
      </c>
      <c r="N152" s="46">
        <f t="shared" si="69"/>
        <v>0</v>
      </c>
      <c r="O152" s="46">
        <f t="shared" si="69"/>
        <v>0</v>
      </c>
      <c r="P152" s="46">
        <f t="shared" si="69"/>
        <v>0</v>
      </c>
      <c r="Q152" s="74"/>
      <c r="R152" s="74"/>
      <c r="S152" s="49"/>
      <c r="T152" s="49"/>
      <c r="U152" s="49"/>
    </row>
    <row r="153" spans="1:21" s="26" customFormat="1" hidden="1">
      <c r="A153" s="892" t="s">
        <v>54</v>
      </c>
      <c r="B153" s="888" t="s">
        <v>55</v>
      </c>
      <c r="C153" s="81" t="s">
        <v>13</v>
      </c>
      <c r="D153" s="45">
        <f t="shared" si="62"/>
        <v>202000</v>
      </c>
      <c r="E153" s="46">
        <f t="shared" si="63"/>
        <v>202000</v>
      </c>
      <c r="F153" s="46">
        <f t="shared" si="64"/>
        <v>192000</v>
      </c>
      <c r="G153" s="46">
        <v>90000</v>
      </c>
      <c r="H153" s="46">
        <f>8000+9000+84000+500+500</f>
        <v>102000</v>
      </c>
      <c r="I153" s="46">
        <v>0</v>
      </c>
      <c r="J153" s="46">
        <v>10000</v>
      </c>
      <c r="K153" s="46">
        <v>0</v>
      </c>
      <c r="L153" s="46">
        <v>0</v>
      </c>
      <c r="M153" s="46">
        <f t="shared" si="65"/>
        <v>0</v>
      </c>
      <c r="N153" s="46">
        <v>0</v>
      </c>
      <c r="O153" s="46">
        <v>0</v>
      </c>
      <c r="P153" s="46">
        <v>0</v>
      </c>
      <c r="Q153" s="56"/>
      <c r="R153" s="56"/>
      <c r="S153" s="32"/>
      <c r="T153" s="32"/>
      <c r="U153" s="32"/>
    </row>
    <row r="154" spans="1:21" s="26" customFormat="1" hidden="1">
      <c r="A154" s="893"/>
      <c r="B154" s="889"/>
      <c r="C154" s="81" t="s">
        <v>14</v>
      </c>
      <c r="D154" s="45">
        <f t="shared" si="62"/>
        <v>0</v>
      </c>
      <c r="E154" s="46">
        <f t="shared" si="63"/>
        <v>0</v>
      </c>
      <c r="F154" s="46">
        <f t="shared" si="64"/>
        <v>0</v>
      </c>
      <c r="G154" s="46"/>
      <c r="H154" s="46"/>
      <c r="I154" s="46"/>
      <c r="J154" s="46"/>
      <c r="K154" s="46"/>
      <c r="L154" s="46"/>
      <c r="M154" s="46">
        <f t="shared" si="65"/>
        <v>0</v>
      </c>
      <c r="N154" s="46"/>
      <c r="O154" s="46"/>
      <c r="P154" s="46"/>
      <c r="Q154" s="56"/>
      <c r="R154" s="56"/>
      <c r="S154" s="32"/>
      <c r="T154" s="32"/>
      <c r="U154" s="32"/>
    </row>
    <row r="155" spans="1:21" s="26" customFormat="1" hidden="1">
      <c r="A155" s="894"/>
      <c r="B155" s="890"/>
      <c r="C155" s="81" t="s">
        <v>15</v>
      </c>
      <c r="D155" s="45">
        <f>D153+D154</f>
        <v>202000</v>
      </c>
      <c r="E155" s="46">
        <f t="shared" ref="E155:P155" si="70">E153+E154</f>
        <v>202000</v>
      </c>
      <c r="F155" s="46">
        <f t="shared" si="70"/>
        <v>192000</v>
      </c>
      <c r="G155" s="46">
        <f t="shared" si="70"/>
        <v>90000</v>
      </c>
      <c r="H155" s="46">
        <f t="shared" si="70"/>
        <v>102000</v>
      </c>
      <c r="I155" s="46">
        <f t="shared" si="70"/>
        <v>0</v>
      </c>
      <c r="J155" s="46">
        <f t="shared" si="70"/>
        <v>10000</v>
      </c>
      <c r="K155" s="46">
        <f t="shared" si="70"/>
        <v>0</v>
      </c>
      <c r="L155" s="46">
        <f t="shared" si="70"/>
        <v>0</v>
      </c>
      <c r="M155" s="46">
        <f t="shared" si="70"/>
        <v>0</v>
      </c>
      <c r="N155" s="46">
        <f t="shared" si="70"/>
        <v>0</v>
      </c>
      <c r="O155" s="46">
        <f t="shared" si="70"/>
        <v>0</v>
      </c>
      <c r="P155" s="46">
        <f t="shared" si="70"/>
        <v>0</v>
      </c>
      <c r="Q155" s="56"/>
      <c r="R155" s="56"/>
      <c r="S155" s="32"/>
      <c r="T155" s="32"/>
      <c r="U155" s="32"/>
    </row>
    <row r="156" spans="1:21" s="50" customFormat="1" ht="13.5" hidden="1" customHeight="1">
      <c r="A156" s="892" t="s">
        <v>125</v>
      </c>
      <c r="B156" s="888" t="s">
        <v>51</v>
      </c>
      <c r="C156" s="81" t="s">
        <v>13</v>
      </c>
      <c r="D156" s="45">
        <f t="shared" si="62"/>
        <v>4008068</v>
      </c>
      <c r="E156" s="46">
        <f t="shared" si="63"/>
        <v>4008068</v>
      </c>
      <c r="F156" s="46">
        <f t="shared" si="64"/>
        <v>1653800</v>
      </c>
      <c r="G156" s="46">
        <v>12300</v>
      </c>
      <c r="H156" s="46">
        <v>1641500</v>
      </c>
      <c r="I156" s="46">
        <v>135000</v>
      </c>
      <c r="J156" s="46">
        <v>157000</v>
      </c>
      <c r="K156" s="46">
        <f>4008068-135000-7000-150000-67600-174000-64200-1225480-10400-103620-8500</f>
        <v>2062268</v>
      </c>
      <c r="L156" s="46">
        <v>0</v>
      </c>
      <c r="M156" s="46">
        <f t="shared" si="65"/>
        <v>0</v>
      </c>
      <c r="N156" s="46">
        <v>0</v>
      </c>
      <c r="O156" s="46">
        <v>0</v>
      </c>
      <c r="P156" s="46">
        <v>0</v>
      </c>
      <c r="Q156" s="74"/>
      <c r="R156" s="74"/>
      <c r="S156" s="49"/>
      <c r="T156" s="49"/>
      <c r="U156" s="49"/>
    </row>
    <row r="157" spans="1:21" s="50" customFormat="1" ht="13.5" hidden="1" customHeight="1">
      <c r="A157" s="893"/>
      <c r="B157" s="889"/>
      <c r="C157" s="81" t="s">
        <v>14</v>
      </c>
      <c r="D157" s="45">
        <f t="shared" si="62"/>
        <v>0</v>
      </c>
      <c r="E157" s="46">
        <f t="shared" si="63"/>
        <v>0</v>
      </c>
      <c r="F157" s="46">
        <f t="shared" si="64"/>
        <v>0</v>
      </c>
      <c r="G157" s="46"/>
      <c r="H157" s="46"/>
      <c r="I157" s="46"/>
      <c r="J157" s="46"/>
      <c r="K157" s="46"/>
      <c r="L157" s="46"/>
      <c r="M157" s="46">
        <f t="shared" si="65"/>
        <v>0</v>
      </c>
      <c r="N157" s="46"/>
      <c r="O157" s="46"/>
      <c r="P157" s="46"/>
      <c r="Q157" s="74"/>
      <c r="R157" s="74"/>
      <c r="S157" s="49"/>
      <c r="T157" s="49"/>
      <c r="U157" s="49"/>
    </row>
    <row r="158" spans="1:21" s="50" customFormat="1" ht="13.5" hidden="1" customHeight="1">
      <c r="A158" s="894"/>
      <c r="B158" s="890"/>
      <c r="C158" s="81" t="s">
        <v>15</v>
      </c>
      <c r="D158" s="45">
        <f>D156+D157</f>
        <v>4008068</v>
      </c>
      <c r="E158" s="46">
        <f t="shared" ref="E158:P158" si="71">E156+E157</f>
        <v>4008068</v>
      </c>
      <c r="F158" s="46">
        <f t="shared" si="71"/>
        <v>1653800</v>
      </c>
      <c r="G158" s="46">
        <f t="shared" si="71"/>
        <v>12300</v>
      </c>
      <c r="H158" s="46">
        <f t="shared" si="71"/>
        <v>1641500</v>
      </c>
      <c r="I158" s="46">
        <f t="shared" si="71"/>
        <v>135000</v>
      </c>
      <c r="J158" s="46">
        <f t="shared" si="71"/>
        <v>157000</v>
      </c>
      <c r="K158" s="46">
        <f t="shared" si="71"/>
        <v>2062268</v>
      </c>
      <c r="L158" s="46">
        <f t="shared" si="71"/>
        <v>0</v>
      </c>
      <c r="M158" s="46">
        <f t="shared" si="71"/>
        <v>0</v>
      </c>
      <c r="N158" s="46">
        <f t="shared" si="71"/>
        <v>0</v>
      </c>
      <c r="O158" s="46">
        <f t="shared" si="71"/>
        <v>0</v>
      </c>
      <c r="P158" s="46">
        <f t="shared" si="71"/>
        <v>0</v>
      </c>
      <c r="Q158" s="74"/>
      <c r="R158" s="74"/>
      <c r="S158" s="49"/>
      <c r="T158" s="49"/>
      <c r="U158" s="49"/>
    </row>
    <row r="159" spans="1:21" s="28" customFormat="1" ht="14.25" hidden="1">
      <c r="A159" s="895" t="s">
        <v>56</v>
      </c>
      <c r="B159" s="880" t="s">
        <v>57</v>
      </c>
      <c r="C159" s="80" t="s">
        <v>13</v>
      </c>
      <c r="D159" s="43">
        <f t="shared" ref="D159:P160" si="72">D162</f>
        <v>5000</v>
      </c>
      <c r="E159" s="44">
        <f t="shared" si="72"/>
        <v>5000</v>
      </c>
      <c r="F159" s="44">
        <f t="shared" si="72"/>
        <v>5000</v>
      </c>
      <c r="G159" s="44">
        <f t="shared" si="72"/>
        <v>0</v>
      </c>
      <c r="H159" s="44">
        <f t="shared" si="72"/>
        <v>5000</v>
      </c>
      <c r="I159" s="44">
        <f t="shared" si="72"/>
        <v>0</v>
      </c>
      <c r="J159" s="44">
        <f t="shared" si="72"/>
        <v>0</v>
      </c>
      <c r="K159" s="44">
        <f t="shared" si="72"/>
        <v>0</v>
      </c>
      <c r="L159" s="44">
        <f t="shared" si="72"/>
        <v>0</v>
      </c>
      <c r="M159" s="44">
        <f t="shared" si="72"/>
        <v>0</v>
      </c>
      <c r="N159" s="44">
        <f t="shared" si="72"/>
        <v>0</v>
      </c>
      <c r="O159" s="44">
        <f>O162</f>
        <v>0</v>
      </c>
      <c r="P159" s="44">
        <f t="shared" si="72"/>
        <v>0</v>
      </c>
      <c r="Q159" s="69"/>
      <c r="R159" s="69"/>
      <c r="S159" s="34"/>
      <c r="T159" s="34"/>
      <c r="U159" s="34"/>
    </row>
    <row r="160" spans="1:21" s="28" customFormat="1" ht="14.25" hidden="1">
      <c r="A160" s="896"/>
      <c r="B160" s="881"/>
      <c r="C160" s="80" t="s">
        <v>14</v>
      </c>
      <c r="D160" s="43">
        <f t="shared" si="72"/>
        <v>0</v>
      </c>
      <c r="E160" s="44">
        <f t="shared" si="72"/>
        <v>0</v>
      </c>
      <c r="F160" s="44">
        <f t="shared" si="72"/>
        <v>0</v>
      </c>
      <c r="G160" s="44">
        <f t="shared" si="72"/>
        <v>0</v>
      </c>
      <c r="H160" s="44">
        <f t="shared" si="72"/>
        <v>0</v>
      </c>
      <c r="I160" s="44">
        <f t="shared" si="72"/>
        <v>0</v>
      </c>
      <c r="J160" s="44">
        <f t="shared" si="72"/>
        <v>0</v>
      </c>
      <c r="K160" s="44">
        <f t="shared" si="72"/>
        <v>0</v>
      </c>
      <c r="L160" s="44">
        <f t="shared" si="72"/>
        <v>0</v>
      </c>
      <c r="M160" s="44">
        <f t="shared" si="72"/>
        <v>0</v>
      </c>
      <c r="N160" s="44">
        <f t="shared" si="72"/>
        <v>0</v>
      </c>
      <c r="O160" s="44">
        <f t="shared" si="72"/>
        <v>0</v>
      </c>
      <c r="P160" s="44">
        <f t="shared" si="72"/>
        <v>0</v>
      </c>
      <c r="Q160" s="69"/>
      <c r="R160" s="69"/>
      <c r="S160" s="34"/>
      <c r="T160" s="34"/>
      <c r="U160" s="34"/>
    </row>
    <row r="161" spans="1:21" s="28" customFormat="1" ht="14.25" hidden="1">
      <c r="A161" s="897"/>
      <c r="B161" s="882"/>
      <c r="C161" s="80" t="s">
        <v>15</v>
      </c>
      <c r="D161" s="43">
        <f>D159+D160</f>
        <v>5000</v>
      </c>
      <c r="E161" s="44">
        <f t="shared" ref="E161:P161" si="73">E159+E160</f>
        <v>5000</v>
      </c>
      <c r="F161" s="44">
        <f t="shared" si="73"/>
        <v>5000</v>
      </c>
      <c r="G161" s="44">
        <f t="shared" si="73"/>
        <v>0</v>
      </c>
      <c r="H161" s="44">
        <f t="shared" si="73"/>
        <v>5000</v>
      </c>
      <c r="I161" s="44">
        <f t="shared" si="73"/>
        <v>0</v>
      </c>
      <c r="J161" s="44">
        <f t="shared" si="73"/>
        <v>0</v>
      </c>
      <c r="K161" s="44">
        <f t="shared" si="73"/>
        <v>0</v>
      </c>
      <c r="L161" s="44">
        <f t="shared" si="73"/>
        <v>0</v>
      </c>
      <c r="M161" s="44">
        <f t="shared" si="73"/>
        <v>0</v>
      </c>
      <c r="N161" s="44">
        <f t="shared" si="73"/>
        <v>0</v>
      </c>
      <c r="O161" s="44">
        <f t="shared" si="73"/>
        <v>0</v>
      </c>
      <c r="P161" s="44">
        <f t="shared" si="73"/>
        <v>0</v>
      </c>
      <c r="Q161" s="69"/>
      <c r="R161" s="69"/>
      <c r="S161" s="34"/>
      <c r="T161" s="34"/>
      <c r="U161" s="34"/>
    </row>
    <row r="162" spans="1:21" s="50" customFormat="1" ht="13.5" hidden="1" customHeight="1">
      <c r="A162" s="892" t="s">
        <v>58</v>
      </c>
      <c r="B162" s="888" t="s">
        <v>59</v>
      </c>
      <c r="C162" s="81" t="s">
        <v>13</v>
      </c>
      <c r="D162" s="45">
        <f>E162+M162</f>
        <v>5000</v>
      </c>
      <c r="E162" s="46">
        <f>F162+I162+J162+K162+L162</f>
        <v>5000</v>
      </c>
      <c r="F162" s="46">
        <f>G162+H162</f>
        <v>5000</v>
      </c>
      <c r="G162" s="46">
        <v>0</v>
      </c>
      <c r="H162" s="46">
        <v>5000</v>
      </c>
      <c r="I162" s="46">
        <v>0</v>
      </c>
      <c r="J162" s="46">
        <v>0</v>
      </c>
      <c r="K162" s="46">
        <v>0</v>
      </c>
      <c r="L162" s="46">
        <v>0</v>
      </c>
      <c r="M162" s="46">
        <f>N162+P162</f>
        <v>0</v>
      </c>
      <c r="N162" s="46">
        <v>0</v>
      </c>
      <c r="O162" s="46">
        <v>0</v>
      </c>
      <c r="P162" s="46">
        <v>0</v>
      </c>
      <c r="Q162" s="74"/>
      <c r="R162" s="74"/>
      <c r="S162" s="49"/>
      <c r="T162" s="49"/>
      <c r="U162" s="49"/>
    </row>
    <row r="163" spans="1:21" s="50" customFormat="1" ht="13.5" hidden="1" customHeight="1">
      <c r="A163" s="893"/>
      <c r="B163" s="889"/>
      <c r="C163" s="81" t="s">
        <v>14</v>
      </c>
      <c r="D163" s="45">
        <f>E163+M163</f>
        <v>0</v>
      </c>
      <c r="E163" s="46">
        <f>F163+I163+J163+K163+L163</f>
        <v>0</v>
      </c>
      <c r="F163" s="46">
        <f>G163+H163</f>
        <v>0</v>
      </c>
      <c r="G163" s="46"/>
      <c r="H163" s="46"/>
      <c r="I163" s="46"/>
      <c r="J163" s="46"/>
      <c r="K163" s="46"/>
      <c r="L163" s="46"/>
      <c r="M163" s="46">
        <f>N163+P163</f>
        <v>0</v>
      </c>
      <c r="N163" s="46"/>
      <c r="O163" s="46"/>
      <c r="P163" s="46"/>
      <c r="Q163" s="74"/>
      <c r="R163" s="74"/>
      <c r="S163" s="49"/>
      <c r="T163" s="49"/>
      <c r="U163" s="49"/>
    </row>
    <row r="164" spans="1:21" s="50" customFormat="1" ht="13.5" hidden="1" customHeight="1">
      <c r="A164" s="894"/>
      <c r="B164" s="890"/>
      <c r="C164" s="81" t="s">
        <v>15</v>
      </c>
      <c r="D164" s="45">
        <f>D162+D163</f>
        <v>5000</v>
      </c>
      <c r="E164" s="46">
        <f t="shared" ref="E164:P164" si="74">E162+E163</f>
        <v>5000</v>
      </c>
      <c r="F164" s="46">
        <f t="shared" si="74"/>
        <v>5000</v>
      </c>
      <c r="G164" s="46">
        <f t="shared" si="74"/>
        <v>0</v>
      </c>
      <c r="H164" s="46">
        <f t="shared" si="74"/>
        <v>5000</v>
      </c>
      <c r="I164" s="46">
        <f t="shared" si="74"/>
        <v>0</v>
      </c>
      <c r="J164" s="46">
        <f t="shared" si="74"/>
        <v>0</v>
      </c>
      <c r="K164" s="46">
        <f t="shared" si="74"/>
        <v>0</v>
      </c>
      <c r="L164" s="46">
        <f t="shared" si="74"/>
        <v>0</v>
      </c>
      <c r="M164" s="46">
        <f t="shared" si="74"/>
        <v>0</v>
      </c>
      <c r="N164" s="46">
        <f t="shared" si="74"/>
        <v>0</v>
      </c>
      <c r="O164" s="46">
        <f t="shared" si="74"/>
        <v>0</v>
      </c>
      <c r="P164" s="46">
        <f t="shared" si="74"/>
        <v>0</v>
      </c>
      <c r="Q164" s="74"/>
      <c r="R164" s="74"/>
      <c r="S164" s="49"/>
      <c r="T164" s="49"/>
      <c r="U164" s="49"/>
    </row>
    <row r="165" spans="1:21" s="28" customFormat="1" ht="14.85" customHeight="1">
      <c r="A165" s="895" t="s">
        <v>126</v>
      </c>
      <c r="B165" s="880" t="s">
        <v>127</v>
      </c>
      <c r="C165" s="80" t="s">
        <v>13</v>
      </c>
      <c r="D165" s="43">
        <f>D171+D168</f>
        <v>1222995</v>
      </c>
      <c r="E165" s="44">
        <f t="shared" ref="E165:P166" si="75">E171+E168</f>
        <v>185000</v>
      </c>
      <c r="F165" s="44">
        <f t="shared" si="75"/>
        <v>185000</v>
      </c>
      <c r="G165" s="44">
        <f t="shared" si="75"/>
        <v>0</v>
      </c>
      <c r="H165" s="44">
        <f t="shared" si="75"/>
        <v>185000</v>
      </c>
      <c r="I165" s="44">
        <f t="shared" si="75"/>
        <v>0</v>
      </c>
      <c r="J165" s="44">
        <f t="shared" si="75"/>
        <v>0</v>
      </c>
      <c r="K165" s="44">
        <f t="shared" si="75"/>
        <v>0</v>
      </c>
      <c r="L165" s="44">
        <f t="shared" si="75"/>
        <v>0</v>
      </c>
      <c r="M165" s="44">
        <f t="shared" si="75"/>
        <v>1037995</v>
      </c>
      <c r="N165" s="44">
        <f t="shared" si="75"/>
        <v>1037995</v>
      </c>
      <c r="O165" s="44">
        <f t="shared" si="75"/>
        <v>1037995</v>
      </c>
      <c r="P165" s="44">
        <f t="shared" si="75"/>
        <v>0</v>
      </c>
      <c r="Q165" s="69"/>
      <c r="R165" s="69"/>
      <c r="S165" s="34"/>
      <c r="T165" s="34"/>
      <c r="U165" s="34"/>
    </row>
    <row r="166" spans="1:21" s="28" customFormat="1" ht="14.85" customHeight="1">
      <c r="A166" s="896"/>
      <c r="B166" s="881"/>
      <c r="C166" s="80" t="s">
        <v>14</v>
      </c>
      <c r="D166" s="43">
        <f>D172+D169</f>
        <v>60000</v>
      </c>
      <c r="E166" s="44">
        <f t="shared" si="75"/>
        <v>60000</v>
      </c>
      <c r="F166" s="44">
        <f t="shared" si="75"/>
        <v>60000</v>
      </c>
      <c r="G166" s="44">
        <f t="shared" si="75"/>
        <v>0</v>
      </c>
      <c r="H166" s="44">
        <f t="shared" si="75"/>
        <v>60000</v>
      </c>
      <c r="I166" s="44">
        <f t="shared" si="75"/>
        <v>0</v>
      </c>
      <c r="J166" s="44">
        <f t="shared" si="75"/>
        <v>0</v>
      </c>
      <c r="K166" s="44">
        <f t="shared" si="75"/>
        <v>0</v>
      </c>
      <c r="L166" s="44">
        <f t="shared" si="75"/>
        <v>0</v>
      </c>
      <c r="M166" s="44">
        <f t="shared" si="75"/>
        <v>0</v>
      </c>
      <c r="N166" s="44">
        <f t="shared" si="75"/>
        <v>0</v>
      </c>
      <c r="O166" s="44">
        <f t="shared" si="75"/>
        <v>0</v>
      </c>
      <c r="P166" s="44">
        <f t="shared" si="75"/>
        <v>0</v>
      </c>
      <c r="Q166" s="69"/>
      <c r="R166" s="69"/>
      <c r="S166" s="34"/>
      <c r="T166" s="34"/>
      <c r="U166" s="34"/>
    </row>
    <row r="167" spans="1:21" s="28" customFormat="1" ht="14.85" customHeight="1">
      <c r="A167" s="897"/>
      <c r="B167" s="882"/>
      <c r="C167" s="80" t="s">
        <v>15</v>
      </c>
      <c r="D167" s="43">
        <f>D165+D166</f>
        <v>1282995</v>
      </c>
      <c r="E167" s="44">
        <f t="shared" ref="E167:P167" si="76">E165+E166</f>
        <v>245000</v>
      </c>
      <c r="F167" s="44">
        <f t="shared" si="76"/>
        <v>245000</v>
      </c>
      <c r="G167" s="44">
        <f t="shared" si="76"/>
        <v>0</v>
      </c>
      <c r="H167" s="44">
        <f t="shared" si="76"/>
        <v>245000</v>
      </c>
      <c r="I167" s="44">
        <f t="shared" si="76"/>
        <v>0</v>
      </c>
      <c r="J167" s="44">
        <f t="shared" si="76"/>
        <v>0</v>
      </c>
      <c r="K167" s="44">
        <f t="shared" si="76"/>
        <v>0</v>
      </c>
      <c r="L167" s="44">
        <f t="shared" si="76"/>
        <v>0</v>
      </c>
      <c r="M167" s="44">
        <f t="shared" si="76"/>
        <v>1037995</v>
      </c>
      <c r="N167" s="44">
        <f t="shared" si="76"/>
        <v>1037995</v>
      </c>
      <c r="O167" s="44">
        <f t="shared" si="76"/>
        <v>1037995</v>
      </c>
      <c r="P167" s="44">
        <f t="shared" si="76"/>
        <v>0</v>
      </c>
      <c r="Q167" s="69"/>
      <c r="R167" s="69"/>
      <c r="S167" s="34"/>
      <c r="T167" s="34"/>
      <c r="U167" s="34"/>
    </row>
    <row r="168" spans="1:21" s="50" customFormat="1" ht="13.5" hidden="1" customHeight="1">
      <c r="A168" s="913">
        <v>75412</v>
      </c>
      <c r="B168" s="888" t="s">
        <v>355</v>
      </c>
      <c r="C168" s="81" t="s">
        <v>13</v>
      </c>
      <c r="D168" s="45">
        <f>E168+M168</f>
        <v>1037995</v>
      </c>
      <c r="E168" s="46">
        <f>F168+I168+J168+K168+L168</f>
        <v>0</v>
      </c>
      <c r="F168" s="46">
        <f>G168+H168</f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f>N168+P168</f>
        <v>1037995</v>
      </c>
      <c r="N168" s="46">
        <v>1037995</v>
      </c>
      <c r="O168" s="46">
        <v>1037995</v>
      </c>
      <c r="P168" s="46">
        <v>0</v>
      </c>
      <c r="Q168" s="74"/>
      <c r="R168" s="74"/>
      <c r="S168" s="49"/>
      <c r="T168" s="49"/>
      <c r="U168" s="49"/>
    </row>
    <row r="169" spans="1:21" s="50" customFormat="1" ht="13.5" hidden="1" customHeight="1">
      <c r="A169" s="914"/>
      <c r="B169" s="889"/>
      <c r="C169" s="81" t="s">
        <v>14</v>
      </c>
      <c r="D169" s="45">
        <f>E169+M169</f>
        <v>0</v>
      </c>
      <c r="E169" s="46">
        <f>F169+I169+J169+K169+L169</f>
        <v>0</v>
      </c>
      <c r="F169" s="46">
        <f>G169+H169</f>
        <v>0</v>
      </c>
      <c r="G169" s="46"/>
      <c r="H169" s="46"/>
      <c r="I169" s="46"/>
      <c r="J169" s="46"/>
      <c r="K169" s="46"/>
      <c r="L169" s="46"/>
      <c r="M169" s="46">
        <f>N169+P169</f>
        <v>0</v>
      </c>
      <c r="N169" s="46"/>
      <c r="O169" s="46"/>
      <c r="P169" s="46"/>
      <c r="Q169" s="74"/>
      <c r="R169" s="74"/>
      <c r="S169" s="49"/>
      <c r="T169" s="49"/>
      <c r="U169" s="49"/>
    </row>
    <row r="170" spans="1:21" s="50" customFormat="1" ht="13.5" hidden="1" customHeight="1">
      <c r="A170" s="915"/>
      <c r="B170" s="890"/>
      <c r="C170" s="81" t="s">
        <v>15</v>
      </c>
      <c r="D170" s="45">
        <f>D168+D169</f>
        <v>1037995</v>
      </c>
      <c r="E170" s="46">
        <f t="shared" ref="E170:P170" si="77">E168+E169</f>
        <v>0</v>
      </c>
      <c r="F170" s="46">
        <f t="shared" si="77"/>
        <v>0</v>
      </c>
      <c r="G170" s="46">
        <f t="shared" si="77"/>
        <v>0</v>
      </c>
      <c r="H170" s="46">
        <f t="shared" si="77"/>
        <v>0</v>
      </c>
      <c r="I170" s="46">
        <f t="shared" si="77"/>
        <v>0</v>
      </c>
      <c r="J170" s="46">
        <f t="shared" si="77"/>
        <v>0</v>
      </c>
      <c r="K170" s="46">
        <f t="shared" si="77"/>
        <v>0</v>
      </c>
      <c r="L170" s="46">
        <f t="shared" si="77"/>
        <v>0</v>
      </c>
      <c r="M170" s="46">
        <f t="shared" si="77"/>
        <v>1037995</v>
      </c>
      <c r="N170" s="46">
        <f t="shared" si="77"/>
        <v>1037995</v>
      </c>
      <c r="O170" s="46">
        <f t="shared" si="77"/>
        <v>1037995</v>
      </c>
      <c r="P170" s="46">
        <f t="shared" si="77"/>
        <v>0</v>
      </c>
      <c r="Q170" s="74"/>
      <c r="R170" s="74"/>
      <c r="S170" s="49"/>
      <c r="T170" s="49"/>
      <c r="U170" s="49"/>
    </row>
    <row r="171" spans="1:21" s="50" customFormat="1" ht="14.85" customHeight="1">
      <c r="A171" s="892" t="s">
        <v>128</v>
      </c>
      <c r="B171" s="888" t="s">
        <v>51</v>
      </c>
      <c r="C171" s="81" t="s">
        <v>13</v>
      </c>
      <c r="D171" s="45">
        <f>E171+M171</f>
        <v>185000</v>
      </c>
      <c r="E171" s="46">
        <f>F171+I171+J171+K171+L171</f>
        <v>185000</v>
      </c>
      <c r="F171" s="46">
        <f>G171+H171</f>
        <v>185000</v>
      </c>
      <c r="G171" s="46">
        <v>0</v>
      </c>
      <c r="H171" s="46">
        <v>185000</v>
      </c>
      <c r="I171" s="46">
        <v>0</v>
      </c>
      <c r="J171" s="46">
        <v>0</v>
      </c>
      <c r="K171" s="46">
        <v>0</v>
      </c>
      <c r="L171" s="46">
        <v>0</v>
      </c>
      <c r="M171" s="46">
        <f>N171+P171</f>
        <v>0</v>
      </c>
      <c r="N171" s="46">
        <v>0</v>
      </c>
      <c r="O171" s="46">
        <v>0</v>
      </c>
      <c r="P171" s="46">
        <v>0</v>
      </c>
      <c r="Q171" s="74"/>
      <c r="R171" s="74"/>
      <c r="S171" s="49"/>
      <c r="T171" s="49"/>
      <c r="U171" s="49"/>
    </row>
    <row r="172" spans="1:21" s="50" customFormat="1" ht="14.85" customHeight="1">
      <c r="A172" s="893"/>
      <c r="B172" s="889"/>
      <c r="C172" s="81" t="s">
        <v>14</v>
      </c>
      <c r="D172" s="45">
        <f>E172+M172</f>
        <v>60000</v>
      </c>
      <c r="E172" s="46">
        <f>F172+I172+J172+K172+L172</f>
        <v>60000</v>
      </c>
      <c r="F172" s="46">
        <f>G172+H172</f>
        <v>60000</v>
      </c>
      <c r="G172" s="46"/>
      <c r="H172" s="46">
        <v>60000</v>
      </c>
      <c r="I172" s="46"/>
      <c r="J172" s="46"/>
      <c r="K172" s="46"/>
      <c r="L172" s="46"/>
      <c r="M172" s="46">
        <f>N172+P172</f>
        <v>0</v>
      </c>
      <c r="N172" s="46"/>
      <c r="O172" s="46"/>
      <c r="P172" s="46"/>
      <c r="Q172" s="74"/>
      <c r="R172" s="74"/>
      <c r="S172" s="49"/>
      <c r="T172" s="49"/>
      <c r="U172" s="49"/>
    </row>
    <row r="173" spans="1:21" s="50" customFormat="1" ht="14.85" customHeight="1">
      <c r="A173" s="894"/>
      <c r="B173" s="890"/>
      <c r="C173" s="81" t="s">
        <v>15</v>
      </c>
      <c r="D173" s="45">
        <f>D171+D172</f>
        <v>245000</v>
      </c>
      <c r="E173" s="46">
        <f t="shared" ref="E173:P173" si="78">E171+E172</f>
        <v>245000</v>
      </c>
      <c r="F173" s="46">
        <f t="shared" si="78"/>
        <v>245000</v>
      </c>
      <c r="G173" s="46">
        <f t="shared" si="78"/>
        <v>0</v>
      </c>
      <c r="H173" s="46">
        <f t="shared" si="78"/>
        <v>245000</v>
      </c>
      <c r="I173" s="46">
        <f t="shared" si="78"/>
        <v>0</v>
      </c>
      <c r="J173" s="46">
        <f t="shared" si="78"/>
        <v>0</v>
      </c>
      <c r="K173" s="46">
        <f t="shared" si="78"/>
        <v>0</v>
      </c>
      <c r="L173" s="46">
        <f t="shared" si="78"/>
        <v>0</v>
      </c>
      <c r="M173" s="46">
        <f t="shared" si="78"/>
        <v>0</v>
      </c>
      <c r="N173" s="46">
        <f t="shared" si="78"/>
        <v>0</v>
      </c>
      <c r="O173" s="46">
        <f t="shared" si="78"/>
        <v>0</v>
      </c>
      <c r="P173" s="46">
        <f t="shared" si="78"/>
        <v>0</v>
      </c>
      <c r="Q173" s="74"/>
      <c r="R173" s="74"/>
      <c r="S173" s="49"/>
      <c r="T173" s="49"/>
      <c r="U173" s="49"/>
    </row>
    <row r="174" spans="1:21" s="28" customFormat="1" ht="14.25" hidden="1">
      <c r="A174" s="895" t="s">
        <v>129</v>
      </c>
      <c r="B174" s="880" t="s">
        <v>130</v>
      </c>
      <c r="C174" s="80" t="s">
        <v>13</v>
      </c>
      <c r="D174" s="43">
        <f t="shared" ref="D174:P175" si="79">D177+D180</f>
        <v>42617695</v>
      </c>
      <c r="E174" s="44">
        <f t="shared" si="79"/>
        <v>42617695</v>
      </c>
      <c r="F174" s="44">
        <f t="shared" si="79"/>
        <v>0</v>
      </c>
      <c r="G174" s="44">
        <f t="shared" si="79"/>
        <v>0</v>
      </c>
      <c r="H174" s="44">
        <f t="shared" si="79"/>
        <v>0</v>
      </c>
      <c r="I174" s="44">
        <f t="shared" si="79"/>
        <v>0</v>
      </c>
      <c r="J174" s="44">
        <f t="shared" si="79"/>
        <v>0</v>
      </c>
      <c r="K174" s="44">
        <f t="shared" si="79"/>
        <v>0</v>
      </c>
      <c r="L174" s="44">
        <f t="shared" si="79"/>
        <v>42617695</v>
      </c>
      <c r="M174" s="44">
        <f t="shared" si="79"/>
        <v>0</v>
      </c>
      <c r="N174" s="44">
        <f t="shared" si="79"/>
        <v>0</v>
      </c>
      <c r="O174" s="44">
        <f t="shared" si="79"/>
        <v>0</v>
      </c>
      <c r="P174" s="44">
        <f t="shared" si="79"/>
        <v>0</v>
      </c>
      <c r="Q174" s="69"/>
      <c r="R174" s="69"/>
      <c r="S174" s="34"/>
      <c r="T174" s="34"/>
      <c r="U174" s="34"/>
    </row>
    <row r="175" spans="1:21" s="28" customFormat="1" ht="14.25" hidden="1">
      <c r="A175" s="896"/>
      <c r="B175" s="881"/>
      <c r="C175" s="80" t="s">
        <v>14</v>
      </c>
      <c r="D175" s="43">
        <f t="shared" si="79"/>
        <v>0</v>
      </c>
      <c r="E175" s="44">
        <f t="shared" si="79"/>
        <v>0</v>
      </c>
      <c r="F175" s="44">
        <f t="shared" si="79"/>
        <v>0</v>
      </c>
      <c r="G175" s="44">
        <f t="shared" si="79"/>
        <v>0</v>
      </c>
      <c r="H175" s="44">
        <f t="shared" si="79"/>
        <v>0</v>
      </c>
      <c r="I175" s="44">
        <f t="shared" si="79"/>
        <v>0</v>
      </c>
      <c r="J175" s="44">
        <f t="shared" si="79"/>
        <v>0</v>
      </c>
      <c r="K175" s="44">
        <f t="shared" si="79"/>
        <v>0</v>
      </c>
      <c r="L175" s="44">
        <f t="shared" si="79"/>
        <v>0</v>
      </c>
      <c r="M175" s="44">
        <f t="shared" si="79"/>
        <v>0</v>
      </c>
      <c r="N175" s="44">
        <f t="shared" si="79"/>
        <v>0</v>
      </c>
      <c r="O175" s="44">
        <f t="shared" si="79"/>
        <v>0</v>
      </c>
      <c r="P175" s="44">
        <f t="shared" si="79"/>
        <v>0</v>
      </c>
      <c r="Q175" s="69"/>
      <c r="R175" s="69"/>
      <c r="S175" s="34"/>
      <c r="T175" s="34"/>
      <c r="U175" s="34"/>
    </row>
    <row r="176" spans="1:21" s="28" customFormat="1" ht="14.25" hidden="1">
      <c r="A176" s="897"/>
      <c r="B176" s="882"/>
      <c r="C176" s="80" t="s">
        <v>15</v>
      </c>
      <c r="D176" s="43">
        <f>D174+D175</f>
        <v>42617695</v>
      </c>
      <c r="E176" s="44">
        <f t="shared" ref="E176:P176" si="80">E174+E175</f>
        <v>42617695</v>
      </c>
      <c r="F176" s="44">
        <f t="shared" si="80"/>
        <v>0</v>
      </c>
      <c r="G176" s="44">
        <f t="shared" si="80"/>
        <v>0</v>
      </c>
      <c r="H176" s="44">
        <f t="shared" si="80"/>
        <v>0</v>
      </c>
      <c r="I176" s="44">
        <f t="shared" si="80"/>
        <v>0</v>
      </c>
      <c r="J176" s="44">
        <f t="shared" si="80"/>
        <v>0</v>
      </c>
      <c r="K176" s="44">
        <f t="shared" si="80"/>
        <v>0</v>
      </c>
      <c r="L176" s="44">
        <f t="shared" si="80"/>
        <v>42617695</v>
      </c>
      <c r="M176" s="44">
        <f t="shared" si="80"/>
        <v>0</v>
      </c>
      <c r="N176" s="44">
        <f t="shared" si="80"/>
        <v>0</v>
      </c>
      <c r="O176" s="44">
        <f t="shared" si="80"/>
        <v>0</v>
      </c>
      <c r="P176" s="44">
        <f t="shared" si="80"/>
        <v>0</v>
      </c>
      <c r="Q176" s="69"/>
      <c r="R176" s="69"/>
      <c r="S176" s="34"/>
      <c r="T176" s="34"/>
      <c r="U176" s="34"/>
    </row>
    <row r="177" spans="1:21" s="26" customFormat="1" ht="18" hidden="1" customHeight="1">
      <c r="A177" s="892" t="s">
        <v>131</v>
      </c>
      <c r="B177" s="888" t="s">
        <v>203</v>
      </c>
      <c r="C177" s="81" t="s">
        <v>13</v>
      </c>
      <c r="D177" s="45">
        <f>E177+M177</f>
        <v>7523985</v>
      </c>
      <c r="E177" s="46">
        <f>F177+I177+J177+K177+L177</f>
        <v>7523985</v>
      </c>
      <c r="F177" s="46">
        <f>G177+H177</f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7523985</v>
      </c>
      <c r="M177" s="46">
        <f>N177+P177</f>
        <v>0</v>
      </c>
      <c r="N177" s="46">
        <v>0</v>
      </c>
      <c r="O177" s="46">
        <v>0</v>
      </c>
      <c r="P177" s="46">
        <v>0</v>
      </c>
      <c r="Q177" s="56"/>
      <c r="R177" s="56"/>
      <c r="S177" s="32"/>
      <c r="T177" s="32"/>
      <c r="U177" s="32"/>
    </row>
    <row r="178" spans="1:21" s="26" customFormat="1" ht="18" hidden="1" customHeight="1">
      <c r="A178" s="893"/>
      <c r="B178" s="889"/>
      <c r="C178" s="81" t="s">
        <v>14</v>
      </c>
      <c r="D178" s="45">
        <f>E178+M178</f>
        <v>0</v>
      </c>
      <c r="E178" s="46">
        <f>F178+I178+J178+K178+L178</f>
        <v>0</v>
      </c>
      <c r="F178" s="46">
        <f>G178+H178</f>
        <v>0</v>
      </c>
      <c r="G178" s="46"/>
      <c r="H178" s="46"/>
      <c r="I178" s="46"/>
      <c r="J178" s="46"/>
      <c r="K178" s="46"/>
      <c r="L178" s="46"/>
      <c r="M178" s="46">
        <f>N178+P178</f>
        <v>0</v>
      </c>
      <c r="N178" s="46"/>
      <c r="O178" s="46"/>
      <c r="P178" s="46"/>
      <c r="Q178" s="56"/>
      <c r="R178" s="56"/>
      <c r="S178" s="32"/>
      <c r="T178" s="32"/>
      <c r="U178" s="32"/>
    </row>
    <row r="179" spans="1:21" s="26" customFormat="1" ht="18" hidden="1" customHeight="1">
      <c r="A179" s="894"/>
      <c r="B179" s="890"/>
      <c r="C179" s="81" t="s">
        <v>15</v>
      </c>
      <c r="D179" s="45">
        <f>D177+D178</f>
        <v>7523985</v>
      </c>
      <c r="E179" s="46">
        <f t="shared" ref="E179:P179" si="81">E177+E178</f>
        <v>7523985</v>
      </c>
      <c r="F179" s="46">
        <f t="shared" si="81"/>
        <v>0</v>
      </c>
      <c r="G179" s="46">
        <f t="shared" si="81"/>
        <v>0</v>
      </c>
      <c r="H179" s="46">
        <f t="shared" si="81"/>
        <v>0</v>
      </c>
      <c r="I179" s="46">
        <f t="shared" si="81"/>
        <v>0</v>
      </c>
      <c r="J179" s="46">
        <f t="shared" si="81"/>
        <v>0</v>
      </c>
      <c r="K179" s="46">
        <f t="shared" si="81"/>
        <v>0</v>
      </c>
      <c r="L179" s="46">
        <f t="shared" si="81"/>
        <v>7523985</v>
      </c>
      <c r="M179" s="46">
        <f t="shared" si="81"/>
        <v>0</v>
      </c>
      <c r="N179" s="46">
        <f t="shared" si="81"/>
        <v>0</v>
      </c>
      <c r="O179" s="46">
        <f t="shared" si="81"/>
        <v>0</v>
      </c>
      <c r="P179" s="46">
        <f t="shared" si="81"/>
        <v>0</v>
      </c>
      <c r="Q179" s="56"/>
      <c r="R179" s="56"/>
      <c r="S179" s="32"/>
      <c r="T179" s="32"/>
      <c r="U179" s="32"/>
    </row>
    <row r="180" spans="1:21" s="26" customFormat="1" hidden="1">
      <c r="A180" s="892" t="s">
        <v>132</v>
      </c>
      <c r="B180" s="888" t="s">
        <v>133</v>
      </c>
      <c r="C180" s="81" t="s">
        <v>13</v>
      </c>
      <c r="D180" s="45">
        <f>E180+M180</f>
        <v>35093710</v>
      </c>
      <c r="E180" s="46">
        <f>F180+I180+J180+K180+L180</f>
        <v>35093710</v>
      </c>
      <c r="F180" s="46">
        <f>G180+H180</f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35093710</v>
      </c>
      <c r="M180" s="46">
        <f>N180+P180</f>
        <v>0</v>
      </c>
      <c r="N180" s="46">
        <v>0</v>
      </c>
      <c r="O180" s="46">
        <v>0</v>
      </c>
      <c r="P180" s="46">
        <v>0</v>
      </c>
      <c r="Q180" s="56"/>
      <c r="R180" s="56"/>
      <c r="S180" s="32"/>
      <c r="T180" s="32"/>
      <c r="U180" s="32"/>
    </row>
    <row r="181" spans="1:21" s="26" customFormat="1" hidden="1">
      <c r="A181" s="893"/>
      <c r="B181" s="889"/>
      <c r="C181" s="81" t="s">
        <v>14</v>
      </c>
      <c r="D181" s="45">
        <f>E181+M181</f>
        <v>0</v>
      </c>
      <c r="E181" s="46">
        <f>F181+I181+J181+K181+L181</f>
        <v>0</v>
      </c>
      <c r="F181" s="46">
        <f>G181+H181</f>
        <v>0</v>
      </c>
      <c r="G181" s="46"/>
      <c r="H181" s="46"/>
      <c r="I181" s="46"/>
      <c r="J181" s="46"/>
      <c r="K181" s="46"/>
      <c r="L181" s="46"/>
      <c r="M181" s="46">
        <f>N181+P181</f>
        <v>0</v>
      </c>
      <c r="N181" s="46"/>
      <c r="O181" s="46"/>
      <c r="P181" s="46"/>
      <c r="Q181" s="56"/>
      <c r="R181" s="56"/>
      <c r="S181" s="32"/>
      <c r="T181" s="32"/>
      <c r="U181" s="32"/>
    </row>
    <row r="182" spans="1:21" s="26" customFormat="1" hidden="1">
      <c r="A182" s="894"/>
      <c r="B182" s="890"/>
      <c r="C182" s="81" t="s">
        <v>15</v>
      </c>
      <c r="D182" s="45">
        <f>D180+D181</f>
        <v>35093710</v>
      </c>
      <c r="E182" s="46">
        <f t="shared" ref="E182:P182" si="82">E180+E181</f>
        <v>35093710</v>
      </c>
      <c r="F182" s="46">
        <f t="shared" si="82"/>
        <v>0</v>
      </c>
      <c r="G182" s="46">
        <f t="shared" si="82"/>
        <v>0</v>
      </c>
      <c r="H182" s="46">
        <f t="shared" si="82"/>
        <v>0</v>
      </c>
      <c r="I182" s="46">
        <f t="shared" si="82"/>
        <v>0</v>
      </c>
      <c r="J182" s="46">
        <f t="shared" si="82"/>
        <v>0</v>
      </c>
      <c r="K182" s="46">
        <f t="shared" si="82"/>
        <v>0</v>
      </c>
      <c r="L182" s="46">
        <f t="shared" si="82"/>
        <v>35093710</v>
      </c>
      <c r="M182" s="46">
        <f t="shared" si="82"/>
        <v>0</v>
      </c>
      <c r="N182" s="46">
        <f t="shared" si="82"/>
        <v>0</v>
      </c>
      <c r="O182" s="46">
        <f t="shared" si="82"/>
        <v>0</v>
      </c>
      <c r="P182" s="46">
        <f t="shared" si="82"/>
        <v>0</v>
      </c>
      <c r="Q182" s="56"/>
      <c r="R182" s="56"/>
      <c r="S182" s="32"/>
      <c r="T182" s="32"/>
      <c r="U182" s="32"/>
    </row>
    <row r="183" spans="1:21" s="28" customFormat="1" ht="14.85" customHeight="1">
      <c r="A183" s="895" t="s">
        <v>134</v>
      </c>
      <c r="B183" s="880" t="s">
        <v>135</v>
      </c>
      <c r="C183" s="80" t="s">
        <v>13</v>
      </c>
      <c r="D183" s="43">
        <f>D186</f>
        <v>21982723</v>
      </c>
      <c r="E183" s="44">
        <f t="shared" ref="E183:P184" si="83">E186</f>
        <v>14182965</v>
      </c>
      <c r="F183" s="44">
        <f t="shared" si="83"/>
        <v>14182965</v>
      </c>
      <c r="G183" s="44">
        <f t="shared" si="83"/>
        <v>0</v>
      </c>
      <c r="H183" s="44">
        <f t="shared" si="83"/>
        <v>14182965</v>
      </c>
      <c r="I183" s="44">
        <f t="shared" si="83"/>
        <v>0</v>
      </c>
      <c r="J183" s="44">
        <f t="shared" si="83"/>
        <v>0</v>
      </c>
      <c r="K183" s="44">
        <f t="shared" si="83"/>
        <v>0</v>
      </c>
      <c r="L183" s="44">
        <f t="shared" si="83"/>
        <v>0</v>
      </c>
      <c r="M183" s="44">
        <f>M186</f>
        <v>7799758</v>
      </c>
      <c r="N183" s="44">
        <f t="shared" si="83"/>
        <v>7799758</v>
      </c>
      <c r="O183" s="44">
        <f t="shared" si="83"/>
        <v>0</v>
      </c>
      <c r="P183" s="44">
        <f t="shared" si="83"/>
        <v>0</v>
      </c>
      <c r="Q183" s="69"/>
      <c r="R183" s="69"/>
      <c r="S183" s="34"/>
      <c r="T183" s="34"/>
      <c r="U183" s="34"/>
    </row>
    <row r="184" spans="1:21" s="28" customFormat="1" ht="14.85" customHeight="1">
      <c r="A184" s="896"/>
      <c r="B184" s="881"/>
      <c r="C184" s="80" t="s">
        <v>14</v>
      </c>
      <c r="D184" s="43">
        <f>D187</f>
        <v>-6500000</v>
      </c>
      <c r="E184" s="44">
        <f t="shared" si="83"/>
        <v>0</v>
      </c>
      <c r="F184" s="44">
        <f t="shared" si="83"/>
        <v>0</v>
      </c>
      <c r="G184" s="44">
        <f t="shared" si="83"/>
        <v>0</v>
      </c>
      <c r="H184" s="44">
        <f t="shared" si="83"/>
        <v>0</v>
      </c>
      <c r="I184" s="44">
        <f t="shared" si="83"/>
        <v>0</v>
      </c>
      <c r="J184" s="44">
        <f t="shared" si="83"/>
        <v>0</v>
      </c>
      <c r="K184" s="44">
        <f t="shared" si="83"/>
        <v>0</v>
      </c>
      <c r="L184" s="44">
        <f t="shared" si="83"/>
        <v>0</v>
      </c>
      <c r="M184" s="44">
        <f>M187</f>
        <v>-6500000</v>
      </c>
      <c r="N184" s="44">
        <f t="shared" si="83"/>
        <v>-6500000</v>
      </c>
      <c r="O184" s="44">
        <f t="shared" si="83"/>
        <v>0</v>
      </c>
      <c r="P184" s="44">
        <f t="shared" si="83"/>
        <v>0</v>
      </c>
      <c r="Q184" s="69"/>
      <c r="R184" s="69"/>
      <c r="S184" s="34"/>
      <c r="T184" s="34"/>
      <c r="U184" s="34"/>
    </row>
    <row r="185" spans="1:21" s="28" customFormat="1" ht="14.85" customHeight="1">
      <c r="A185" s="897"/>
      <c r="B185" s="882"/>
      <c r="C185" s="80" t="s">
        <v>15</v>
      </c>
      <c r="D185" s="43">
        <f>D183+D184</f>
        <v>15482723</v>
      </c>
      <c r="E185" s="44">
        <f t="shared" ref="E185:P185" si="84">E183+E184</f>
        <v>14182965</v>
      </c>
      <c r="F185" s="44">
        <f t="shared" si="84"/>
        <v>14182965</v>
      </c>
      <c r="G185" s="44">
        <f t="shared" si="84"/>
        <v>0</v>
      </c>
      <c r="H185" s="44">
        <f t="shared" si="84"/>
        <v>14182965</v>
      </c>
      <c r="I185" s="44">
        <f t="shared" si="84"/>
        <v>0</v>
      </c>
      <c r="J185" s="44">
        <f t="shared" si="84"/>
        <v>0</v>
      </c>
      <c r="K185" s="44">
        <f t="shared" si="84"/>
        <v>0</v>
      </c>
      <c r="L185" s="44">
        <f t="shared" si="84"/>
        <v>0</v>
      </c>
      <c r="M185" s="44">
        <f t="shared" si="84"/>
        <v>1299758</v>
      </c>
      <c r="N185" s="44">
        <f t="shared" si="84"/>
        <v>1299758</v>
      </c>
      <c r="O185" s="44">
        <f t="shared" si="84"/>
        <v>0</v>
      </c>
      <c r="P185" s="44">
        <f t="shared" si="84"/>
        <v>0</v>
      </c>
      <c r="Q185" s="69"/>
      <c r="R185" s="69"/>
      <c r="S185" s="34"/>
      <c r="T185" s="34"/>
      <c r="U185" s="34"/>
    </row>
    <row r="186" spans="1:21" s="50" customFormat="1" ht="14.85" customHeight="1">
      <c r="A186" s="892" t="s">
        <v>136</v>
      </c>
      <c r="B186" s="888" t="s">
        <v>137</v>
      </c>
      <c r="C186" s="81" t="s">
        <v>13</v>
      </c>
      <c r="D186" s="45">
        <f>E186+M186</f>
        <v>21982723</v>
      </c>
      <c r="E186" s="46">
        <f>F186+I186+J186+K186+L186</f>
        <v>14182965</v>
      </c>
      <c r="F186" s="46">
        <f>G186+H186</f>
        <v>14182965</v>
      </c>
      <c r="G186" s="46">
        <v>0</v>
      </c>
      <c r="H186" s="46">
        <v>14182965</v>
      </c>
      <c r="I186" s="46">
        <v>0</v>
      </c>
      <c r="J186" s="46">
        <v>0</v>
      </c>
      <c r="K186" s="46">
        <v>0</v>
      </c>
      <c r="L186" s="46">
        <v>0</v>
      </c>
      <c r="M186" s="46">
        <f>N186+P186</f>
        <v>7799758</v>
      </c>
      <c r="N186" s="46">
        <v>7799758</v>
      </c>
      <c r="O186" s="46">
        <v>0</v>
      </c>
      <c r="P186" s="46">
        <v>0</v>
      </c>
      <c r="Q186" s="74"/>
      <c r="R186" s="74"/>
      <c r="S186" s="49"/>
      <c r="T186" s="49"/>
      <c r="U186" s="49"/>
    </row>
    <row r="187" spans="1:21" s="50" customFormat="1" ht="14.85" customHeight="1">
      <c r="A187" s="893"/>
      <c r="B187" s="889"/>
      <c r="C187" s="81" t="s">
        <v>14</v>
      </c>
      <c r="D187" s="45">
        <f>E187+M187</f>
        <v>-6500000</v>
      </c>
      <c r="E187" s="46">
        <f>F187+I187+J187+K187+L187</f>
        <v>0</v>
      </c>
      <c r="F187" s="46">
        <f>G187+H187</f>
        <v>0</v>
      </c>
      <c r="G187" s="46"/>
      <c r="H187" s="46"/>
      <c r="I187" s="46"/>
      <c r="J187" s="46"/>
      <c r="K187" s="46"/>
      <c r="L187" s="46"/>
      <c r="M187" s="46">
        <f>N187+P187</f>
        <v>-6500000</v>
      </c>
      <c r="N187" s="46">
        <v>-6500000</v>
      </c>
      <c r="O187" s="46"/>
      <c r="P187" s="46"/>
      <c r="Q187" s="74"/>
      <c r="R187" s="74"/>
      <c r="S187" s="49"/>
      <c r="T187" s="49"/>
      <c r="U187" s="49"/>
    </row>
    <row r="188" spans="1:21" s="50" customFormat="1" ht="14.85" customHeight="1">
      <c r="A188" s="894"/>
      <c r="B188" s="890"/>
      <c r="C188" s="81" t="s">
        <v>15</v>
      </c>
      <c r="D188" s="45">
        <f>D186+D187</f>
        <v>15482723</v>
      </c>
      <c r="E188" s="46">
        <f t="shared" ref="E188:P188" si="85">E186+E187</f>
        <v>14182965</v>
      </c>
      <c r="F188" s="46">
        <f t="shared" si="85"/>
        <v>14182965</v>
      </c>
      <c r="G188" s="46">
        <f t="shared" si="85"/>
        <v>0</v>
      </c>
      <c r="H188" s="46">
        <f t="shared" si="85"/>
        <v>14182965</v>
      </c>
      <c r="I188" s="46">
        <f t="shared" si="85"/>
        <v>0</v>
      </c>
      <c r="J188" s="46">
        <f t="shared" si="85"/>
        <v>0</v>
      </c>
      <c r="K188" s="46">
        <f t="shared" si="85"/>
        <v>0</v>
      </c>
      <c r="L188" s="46">
        <f t="shared" si="85"/>
        <v>0</v>
      </c>
      <c r="M188" s="46">
        <f>M186+M187</f>
        <v>1299758</v>
      </c>
      <c r="N188" s="46">
        <f t="shared" si="85"/>
        <v>1299758</v>
      </c>
      <c r="O188" s="46">
        <f t="shared" si="85"/>
        <v>0</v>
      </c>
      <c r="P188" s="46">
        <f t="shared" si="85"/>
        <v>0</v>
      </c>
      <c r="Q188" s="74"/>
      <c r="R188" s="74"/>
      <c r="S188" s="49"/>
      <c r="T188" s="49"/>
      <c r="U188" s="49"/>
    </row>
    <row r="189" spans="1:21" s="28" customFormat="1" ht="14.85" customHeight="1">
      <c r="A189" s="895" t="s">
        <v>31</v>
      </c>
      <c r="B189" s="880" t="s">
        <v>32</v>
      </c>
      <c r="C189" s="80" t="s">
        <v>13</v>
      </c>
      <c r="D189" s="43">
        <f>D192+D198+D201+D207+D210+D213+D216+D219+D222+D225+D228+D234+D195+D204+D231</f>
        <v>90782769</v>
      </c>
      <c r="E189" s="44">
        <f t="shared" ref="E189:P190" si="86">E192+E198+E201+E207+E210+E213+E216+E219+E222+E225+E228+E234+E195+E204+E231</f>
        <v>78588495</v>
      </c>
      <c r="F189" s="44">
        <f t="shared" si="86"/>
        <v>72027070</v>
      </c>
      <c r="G189" s="44">
        <f t="shared" si="86"/>
        <v>63070592</v>
      </c>
      <c r="H189" s="44">
        <f t="shared" si="86"/>
        <v>8956478</v>
      </c>
      <c r="I189" s="44">
        <f t="shared" si="86"/>
        <v>5719</v>
      </c>
      <c r="J189" s="44">
        <f t="shared" si="86"/>
        <v>250018</v>
      </c>
      <c r="K189" s="44">
        <f t="shared" si="86"/>
        <v>6305688</v>
      </c>
      <c r="L189" s="44">
        <f t="shared" si="86"/>
        <v>0</v>
      </c>
      <c r="M189" s="44">
        <f t="shared" si="86"/>
        <v>12194274</v>
      </c>
      <c r="N189" s="44">
        <f t="shared" si="86"/>
        <v>12194274</v>
      </c>
      <c r="O189" s="44">
        <f t="shared" si="86"/>
        <v>9239337</v>
      </c>
      <c r="P189" s="44">
        <f t="shared" si="86"/>
        <v>0</v>
      </c>
      <c r="Q189" s="69"/>
      <c r="R189" s="69"/>
      <c r="S189" s="34"/>
      <c r="T189" s="34"/>
      <c r="U189" s="34"/>
    </row>
    <row r="190" spans="1:21" s="28" customFormat="1" ht="14.85" customHeight="1">
      <c r="A190" s="896"/>
      <c r="B190" s="881"/>
      <c r="C190" s="80" t="s">
        <v>14</v>
      </c>
      <c r="D190" s="43">
        <f>D193+D199+D202+D208+D211+D214+D217+D220+D223+D226+D229+D235+D196+D205+D232</f>
        <v>661092</v>
      </c>
      <c r="E190" s="44">
        <f t="shared" si="86"/>
        <v>589168</v>
      </c>
      <c r="F190" s="44">
        <f t="shared" si="86"/>
        <v>118651</v>
      </c>
      <c r="G190" s="44">
        <f t="shared" si="86"/>
        <v>0</v>
      </c>
      <c r="H190" s="44">
        <f t="shared" si="86"/>
        <v>118651</v>
      </c>
      <c r="I190" s="44">
        <f t="shared" si="86"/>
        <v>0</v>
      </c>
      <c r="J190" s="44">
        <f t="shared" si="86"/>
        <v>0</v>
      </c>
      <c r="K190" s="44">
        <f t="shared" si="86"/>
        <v>470517</v>
      </c>
      <c r="L190" s="44">
        <f t="shared" si="86"/>
        <v>0</v>
      </c>
      <c r="M190" s="44">
        <f t="shared" si="86"/>
        <v>71924</v>
      </c>
      <c r="N190" s="44">
        <f t="shared" si="86"/>
        <v>71924</v>
      </c>
      <c r="O190" s="44">
        <f t="shared" si="86"/>
        <v>0</v>
      </c>
      <c r="P190" s="44">
        <f t="shared" si="86"/>
        <v>0</v>
      </c>
      <c r="Q190" s="69"/>
      <c r="R190" s="69"/>
      <c r="S190" s="34"/>
      <c r="T190" s="34"/>
      <c r="U190" s="34"/>
    </row>
    <row r="191" spans="1:21" s="28" customFormat="1" ht="14.85" customHeight="1">
      <c r="A191" s="897"/>
      <c r="B191" s="882"/>
      <c r="C191" s="80" t="s">
        <v>15</v>
      </c>
      <c r="D191" s="43">
        <f>D189+D190</f>
        <v>91443861</v>
      </c>
      <c r="E191" s="44">
        <f t="shared" ref="E191:P191" si="87">E189+E190</f>
        <v>79177663</v>
      </c>
      <c r="F191" s="44">
        <f t="shared" si="87"/>
        <v>72145721</v>
      </c>
      <c r="G191" s="44">
        <f t="shared" si="87"/>
        <v>63070592</v>
      </c>
      <c r="H191" s="44">
        <f t="shared" si="87"/>
        <v>9075129</v>
      </c>
      <c r="I191" s="44">
        <f t="shared" si="87"/>
        <v>5719</v>
      </c>
      <c r="J191" s="44">
        <f t="shared" si="87"/>
        <v>250018</v>
      </c>
      <c r="K191" s="44">
        <f t="shared" si="87"/>
        <v>6776205</v>
      </c>
      <c r="L191" s="44">
        <f t="shared" si="87"/>
        <v>0</v>
      </c>
      <c r="M191" s="44">
        <f t="shared" si="87"/>
        <v>12266198</v>
      </c>
      <c r="N191" s="44">
        <f t="shared" si="87"/>
        <v>12266198</v>
      </c>
      <c r="O191" s="44">
        <f t="shared" si="87"/>
        <v>9239337</v>
      </c>
      <c r="P191" s="44">
        <f t="shared" si="87"/>
        <v>0</v>
      </c>
      <c r="Q191" s="69"/>
      <c r="R191" s="69"/>
      <c r="S191" s="34"/>
      <c r="T191" s="34"/>
      <c r="U191" s="34"/>
    </row>
    <row r="192" spans="1:21" s="50" customFormat="1" ht="13.5" hidden="1" customHeight="1">
      <c r="A192" s="892" t="s">
        <v>138</v>
      </c>
      <c r="B192" s="888" t="s">
        <v>139</v>
      </c>
      <c r="C192" s="81" t="s">
        <v>13</v>
      </c>
      <c r="D192" s="45">
        <f t="shared" ref="D192:D235" si="88">E192+M192</f>
        <v>22123249</v>
      </c>
      <c r="E192" s="46">
        <f t="shared" ref="E192:E235" si="89">F192+I192+J192+K192+L192</f>
        <v>22123249</v>
      </c>
      <c r="F192" s="46">
        <f t="shared" ref="F192:F235" si="90">G192+H192</f>
        <v>22059333</v>
      </c>
      <c r="G192" s="46">
        <v>20624270</v>
      </c>
      <c r="H192" s="46">
        <v>1435063</v>
      </c>
      <c r="I192" s="46">
        <v>0</v>
      </c>
      <c r="J192" s="46">
        <v>63916</v>
      </c>
      <c r="K192" s="46">
        <v>0</v>
      </c>
      <c r="L192" s="46">
        <v>0</v>
      </c>
      <c r="M192" s="46">
        <f t="shared" ref="M192:M235" si="91">N192+P192</f>
        <v>0</v>
      </c>
      <c r="N192" s="46">
        <v>0</v>
      </c>
      <c r="O192" s="46">
        <v>0</v>
      </c>
      <c r="P192" s="46">
        <v>0</v>
      </c>
      <c r="Q192" s="74"/>
      <c r="R192" s="74"/>
      <c r="S192" s="49"/>
      <c r="T192" s="49"/>
      <c r="U192" s="49"/>
    </row>
    <row r="193" spans="1:21" s="50" customFormat="1" ht="13.5" hidden="1" customHeight="1">
      <c r="A193" s="893"/>
      <c r="B193" s="889"/>
      <c r="C193" s="81" t="s">
        <v>14</v>
      </c>
      <c r="D193" s="45">
        <f t="shared" si="88"/>
        <v>0</v>
      </c>
      <c r="E193" s="46">
        <f t="shared" si="89"/>
        <v>0</v>
      </c>
      <c r="F193" s="46">
        <f t="shared" si="90"/>
        <v>0</v>
      </c>
      <c r="G193" s="46"/>
      <c r="H193" s="46"/>
      <c r="I193" s="46"/>
      <c r="J193" s="46"/>
      <c r="K193" s="46"/>
      <c r="L193" s="46"/>
      <c r="M193" s="46">
        <f t="shared" si="91"/>
        <v>0</v>
      </c>
      <c r="N193" s="46"/>
      <c r="O193" s="46"/>
      <c r="P193" s="46"/>
      <c r="Q193" s="74"/>
      <c r="R193" s="74"/>
      <c r="S193" s="49"/>
      <c r="T193" s="49"/>
      <c r="U193" s="49"/>
    </row>
    <row r="194" spans="1:21" s="50" customFormat="1" ht="13.5" hidden="1" customHeight="1">
      <c r="A194" s="894"/>
      <c r="B194" s="890"/>
      <c r="C194" s="81" t="s">
        <v>15</v>
      </c>
      <c r="D194" s="45">
        <f>D192+D193</f>
        <v>22123249</v>
      </c>
      <c r="E194" s="46">
        <f t="shared" ref="E194:P194" si="92">E192+E193</f>
        <v>22123249</v>
      </c>
      <c r="F194" s="46">
        <f t="shared" si="92"/>
        <v>22059333</v>
      </c>
      <c r="G194" s="46">
        <f t="shared" si="92"/>
        <v>20624270</v>
      </c>
      <c r="H194" s="46">
        <f t="shared" si="92"/>
        <v>1435063</v>
      </c>
      <c r="I194" s="46">
        <f t="shared" si="92"/>
        <v>0</v>
      </c>
      <c r="J194" s="46">
        <f t="shared" si="92"/>
        <v>63916</v>
      </c>
      <c r="K194" s="46">
        <f t="shared" si="92"/>
        <v>0</v>
      </c>
      <c r="L194" s="46">
        <f t="shared" si="92"/>
        <v>0</v>
      </c>
      <c r="M194" s="46">
        <f t="shared" si="92"/>
        <v>0</v>
      </c>
      <c r="N194" s="46">
        <f t="shared" si="92"/>
        <v>0</v>
      </c>
      <c r="O194" s="46">
        <f t="shared" si="92"/>
        <v>0</v>
      </c>
      <c r="P194" s="46">
        <f t="shared" si="92"/>
        <v>0</v>
      </c>
      <c r="Q194" s="74"/>
      <c r="R194" s="74"/>
      <c r="S194" s="49"/>
      <c r="T194" s="49"/>
      <c r="U194" s="49"/>
    </row>
    <row r="195" spans="1:21" s="50" customFormat="1" ht="13.5" hidden="1" customHeight="1">
      <c r="A195" s="913">
        <v>80104</v>
      </c>
      <c r="B195" s="888" t="s">
        <v>206</v>
      </c>
      <c r="C195" s="81" t="s">
        <v>13</v>
      </c>
      <c r="D195" s="45">
        <f t="shared" si="88"/>
        <v>192660</v>
      </c>
      <c r="E195" s="46">
        <f>F195+I195+J195+K195+L195</f>
        <v>0</v>
      </c>
      <c r="F195" s="46">
        <f>G195+H195</f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f t="shared" si="91"/>
        <v>192660</v>
      </c>
      <c r="N195" s="46">
        <v>192660</v>
      </c>
      <c r="O195" s="46">
        <v>192660</v>
      </c>
      <c r="P195" s="46">
        <v>0</v>
      </c>
      <c r="Q195" s="74"/>
      <c r="R195" s="74"/>
      <c r="S195" s="49"/>
      <c r="T195" s="49"/>
      <c r="U195" s="49"/>
    </row>
    <row r="196" spans="1:21" s="50" customFormat="1" ht="13.5" hidden="1" customHeight="1">
      <c r="A196" s="914"/>
      <c r="B196" s="889"/>
      <c r="C196" s="81" t="s">
        <v>14</v>
      </c>
      <c r="D196" s="45">
        <f t="shared" si="88"/>
        <v>0</v>
      </c>
      <c r="E196" s="46">
        <f>F196+I196+J196+K196+L196</f>
        <v>0</v>
      </c>
      <c r="F196" s="46">
        <f>G196+H196</f>
        <v>0</v>
      </c>
      <c r="G196" s="46"/>
      <c r="H196" s="46"/>
      <c r="I196" s="46"/>
      <c r="J196" s="46"/>
      <c r="K196" s="46"/>
      <c r="L196" s="46"/>
      <c r="M196" s="46">
        <f t="shared" si="91"/>
        <v>0</v>
      </c>
      <c r="N196" s="46"/>
      <c r="O196" s="46"/>
      <c r="P196" s="46"/>
      <c r="Q196" s="74"/>
      <c r="R196" s="74"/>
      <c r="S196" s="49"/>
      <c r="T196" s="49"/>
      <c r="U196" s="49"/>
    </row>
    <row r="197" spans="1:21" s="50" customFormat="1" ht="13.5" hidden="1" customHeight="1">
      <c r="A197" s="915"/>
      <c r="B197" s="890"/>
      <c r="C197" s="81" t="s">
        <v>15</v>
      </c>
      <c r="D197" s="45">
        <f>D195+D196</f>
        <v>192660</v>
      </c>
      <c r="E197" s="46">
        <f t="shared" ref="E197:P197" si="93">E195+E196</f>
        <v>0</v>
      </c>
      <c r="F197" s="46">
        <f t="shared" si="93"/>
        <v>0</v>
      </c>
      <c r="G197" s="46">
        <f t="shared" si="93"/>
        <v>0</v>
      </c>
      <c r="H197" s="46">
        <f t="shared" si="93"/>
        <v>0</v>
      </c>
      <c r="I197" s="46">
        <f t="shared" si="93"/>
        <v>0</v>
      </c>
      <c r="J197" s="46">
        <f t="shared" si="93"/>
        <v>0</v>
      </c>
      <c r="K197" s="46">
        <f t="shared" si="93"/>
        <v>0</v>
      </c>
      <c r="L197" s="46">
        <f t="shared" si="93"/>
        <v>0</v>
      </c>
      <c r="M197" s="46">
        <f t="shared" si="93"/>
        <v>192660</v>
      </c>
      <c r="N197" s="46">
        <f t="shared" si="93"/>
        <v>192660</v>
      </c>
      <c r="O197" s="46">
        <f t="shared" si="93"/>
        <v>192660</v>
      </c>
      <c r="P197" s="46">
        <f t="shared" si="93"/>
        <v>0</v>
      </c>
      <c r="Q197" s="74"/>
      <c r="R197" s="74"/>
      <c r="S197" s="49"/>
      <c r="T197" s="49"/>
      <c r="U197" s="49"/>
    </row>
    <row r="198" spans="1:21" s="50" customFormat="1" ht="13.5" hidden="1" customHeight="1">
      <c r="A198" s="892" t="s">
        <v>140</v>
      </c>
      <c r="B198" s="888" t="s">
        <v>141</v>
      </c>
      <c r="C198" s="81" t="s">
        <v>13</v>
      </c>
      <c r="D198" s="45">
        <f t="shared" si="88"/>
        <v>1180116</v>
      </c>
      <c r="E198" s="46">
        <f t="shared" si="89"/>
        <v>1180116</v>
      </c>
      <c r="F198" s="46">
        <f t="shared" si="90"/>
        <v>390836</v>
      </c>
      <c r="G198" s="46">
        <v>376491</v>
      </c>
      <c r="H198" s="46">
        <f>1506+1240+858+240+449+352+100+9600</f>
        <v>14345</v>
      </c>
      <c r="I198" s="46">
        <v>0</v>
      </c>
      <c r="J198" s="46">
        <v>1800</v>
      </c>
      <c r="K198" s="46">
        <f>1149225-1800-270548-19893-46723-4359-1506-1240-858-240-449-352-100-9600-4077</f>
        <v>787480</v>
      </c>
      <c r="L198" s="46">
        <v>0</v>
      </c>
      <c r="M198" s="46">
        <f t="shared" si="91"/>
        <v>0</v>
      </c>
      <c r="N198" s="46">
        <v>0</v>
      </c>
      <c r="O198" s="46">
        <v>0</v>
      </c>
      <c r="P198" s="46">
        <v>0</v>
      </c>
      <c r="Q198" s="74"/>
      <c r="R198" s="74"/>
      <c r="S198" s="49"/>
      <c r="T198" s="49"/>
      <c r="U198" s="49"/>
    </row>
    <row r="199" spans="1:21" s="50" customFormat="1" ht="13.5" hidden="1" customHeight="1">
      <c r="A199" s="893"/>
      <c r="B199" s="889"/>
      <c r="C199" s="81" t="s">
        <v>14</v>
      </c>
      <c r="D199" s="45">
        <f t="shared" si="88"/>
        <v>0</v>
      </c>
      <c r="E199" s="46">
        <f t="shared" si="89"/>
        <v>0</v>
      </c>
      <c r="F199" s="46">
        <f t="shared" si="90"/>
        <v>0</v>
      </c>
      <c r="G199" s="46"/>
      <c r="H199" s="46"/>
      <c r="I199" s="46"/>
      <c r="J199" s="46"/>
      <c r="K199" s="46"/>
      <c r="L199" s="46"/>
      <c r="M199" s="46">
        <f t="shared" si="91"/>
        <v>0</v>
      </c>
      <c r="N199" s="46"/>
      <c r="O199" s="46"/>
      <c r="P199" s="46"/>
      <c r="Q199" s="74"/>
      <c r="R199" s="74"/>
      <c r="S199" s="49"/>
      <c r="T199" s="49"/>
      <c r="U199" s="49"/>
    </row>
    <row r="200" spans="1:21" s="50" customFormat="1" ht="13.5" hidden="1" customHeight="1">
      <c r="A200" s="894"/>
      <c r="B200" s="890"/>
      <c r="C200" s="81" t="s">
        <v>15</v>
      </c>
      <c r="D200" s="45">
        <f>D198+D199</f>
        <v>1180116</v>
      </c>
      <c r="E200" s="46">
        <f t="shared" ref="E200:P200" si="94">E198+E199</f>
        <v>1180116</v>
      </c>
      <c r="F200" s="46">
        <f t="shared" si="94"/>
        <v>390836</v>
      </c>
      <c r="G200" s="46">
        <f t="shared" si="94"/>
        <v>376491</v>
      </c>
      <c r="H200" s="46">
        <f t="shared" si="94"/>
        <v>14345</v>
      </c>
      <c r="I200" s="46">
        <f t="shared" si="94"/>
        <v>0</v>
      </c>
      <c r="J200" s="46">
        <f t="shared" si="94"/>
        <v>1800</v>
      </c>
      <c r="K200" s="46">
        <f t="shared" si="94"/>
        <v>787480</v>
      </c>
      <c r="L200" s="46">
        <f t="shared" si="94"/>
        <v>0</v>
      </c>
      <c r="M200" s="46">
        <f t="shared" si="94"/>
        <v>0</v>
      </c>
      <c r="N200" s="46">
        <f t="shared" si="94"/>
        <v>0</v>
      </c>
      <c r="O200" s="46">
        <f t="shared" si="94"/>
        <v>0</v>
      </c>
      <c r="P200" s="46">
        <f t="shared" si="94"/>
        <v>0</v>
      </c>
      <c r="Q200" s="74"/>
      <c r="R200" s="74"/>
      <c r="S200" s="49"/>
      <c r="T200" s="49"/>
      <c r="U200" s="49"/>
    </row>
    <row r="201" spans="1:21" s="50" customFormat="1" ht="13.5" hidden="1" customHeight="1">
      <c r="A201" s="892" t="s">
        <v>142</v>
      </c>
      <c r="B201" s="888" t="s">
        <v>143</v>
      </c>
      <c r="C201" s="81" t="s">
        <v>13</v>
      </c>
      <c r="D201" s="45">
        <f t="shared" si="88"/>
        <v>16500</v>
      </c>
      <c r="E201" s="46">
        <f t="shared" si="89"/>
        <v>16500</v>
      </c>
      <c r="F201" s="46">
        <f t="shared" si="90"/>
        <v>16500</v>
      </c>
      <c r="G201" s="46">
        <v>0</v>
      </c>
      <c r="H201" s="46">
        <v>16500</v>
      </c>
      <c r="I201" s="46">
        <v>0</v>
      </c>
      <c r="J201" s="46">
        <v>0</v>
      </c>
      <c r="K201" s="46">
        <v>0</v>
      </c>
      <c r="L201" s="46">
        <v>0</v>
      </c>
      <c r="M201" s="46">
        <f t="shared" si="91"/>
        <v>0</v>
      </c>
      <c r="N201" s="46">
        <v>0</v>
      </c>
      <c r="O201" s="46">
        <v>0</v>
      </c>
      <c r="P201" s="46">
        <v>0</v>
      </c>
      <c r="Q201" s="74"/>
      <c r="R201" s="74"/>
      <c r="S201" s="49"/>
      <c r="T201" s="49"/>
      <c r="U201" s="49"/>
    </row>
    <row r="202" spans="1:21" s="50" customFormat="1" ht="13.5" hidden="1" customHeight="1">
      <c r="A202" s="893"/>
      <c r="B202" s="889"/>
      <c r="C202" s="81" t="s">
        <v>14</v>
      </c>
      <c r="D202" s="45">
        <f t="shared" si="88"/>
        <v>0</v>
      </c>
      <c r="E202" s="46">
        <f t="shared" si="89"/>
        <v>0</v>
      </c>
      <c r="F202" s="46">
        <f t="shared" si="90"/>
        <v>0</v>
      </c>
      <c r="G202" s="46"/>
      <c r="H202" s="46"/>
      <c r="I202" s="46"/>
      <c r="J202" s="46"/>
      <c r="K202" s="46"/>
      <c r="L202" s="46"/>
      <c r="M202" s="46">
        <f t="shared" si="91"/>
        <v>0</v>
      </c>
      <c r="N202" s="46"/>
      <c r="O202" s="46"/>
      <c r="P202" s="46"/>
      <c r="Q202" s="74"/>
      <c r="R202" s="74"/>
      <c r="S202" s="49"/>
      <c r="T202" s="49"/>
      <c r="U202" s="49"/>
    </row>
    <row r="203" spans="1:21" s="50" customFormat="1" ht="13.5" hidden="1" customHeight="1">
      <c r="A203" s="894"/>
      <c r="B203" s="890"/>
      <c r="C203" s="81" t="s">
        <v>15</v>
      </c>
      <c r="D203" s="45">
        <f>D201+D202</f>
        <v>16500</v>
      </c>
      <c r="E203" s="46">
        <f t="shared" ref="E203:P203" si="95">E201+E202</f>
        <v>16500</v>
      </c>
      <c r="F203" s="46">
        <f t="shared" si="95"/>
        <v>16500</v>
      </c>
      <c r="G203" s="46">
        <f t="shared" si="95"/>
        <v>0</v>
      </c>
      <c r="H203" s="46">
        <f t="shared" si="95"/>
        <v>16500</v>
      </c>
      <c r="I203" s="46">
        <f t="shared" si="95"/>
        <v>0</v>
      </c>
      <c r="J203" s="46">
        <f t="shared" si="95"/>
        <v>0</v>
      </c>
      <c r="K203" s="46">
        <f t="shared" si="95"/>
        <v>0</v>
      </c>
      <c r="L203" s="46">
        <f t="shared" si="95"/>
        <v>0</v>
      </c>
      <c r="M203" s="46">
        <f t="shared" si="95"/>
        <v>0</v>
      </c>
      <c r="N203" s="46">
        <f t="shared" si="95"/>
        <v>0</v>
      </c>
      <c r="O203" s="46">
        <f t="shared" si="95"/>
        <v>0</v>
      </c>
      <c r="P203" s="46">
        <f t="shared" si="95"/>
        <v>0</v>
      </c>
      <c r="Q203" s="74"/>
      <c r="R203" s="74"/>
      <c r="S203" s="49"/>
      <c r="T203" s="49"/>
      <c r="U203" s="49"/>
    </row>
    <row r="204" spans="1:21" s="50" customFormat="1" ht="13.5" hidden="1" customHeight="1">
      <c r="A204" s="913">
        <v>80115</v>
      </c>
      <c r="B204" s="888" t="s">
        <v>207</v>
      </c>
      <c r="C204" s="81" t="s">
        <v>13</v>
      </c>
      <c r="D204" s="45">
        <f>E204+M204</f>
        <v>19129</v>
      </c>
      <c r="E204" s="46">
        <f>F204+I204+J204+K204+L204</f>
        <v>0</v>
      </c>
      <c r="F204" s="46">
        <f>G204+H204</f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f t="shared" si="91"/>
        <v>19129</v>
      </c>
      <c r="N204" s="46">
        <v>19129</v>
      </c>
      <c r="O204" s="46">
        <v>19129</v>
      </c>
      <c r="P204" s="46"/>
      <c r="Q204" s="74"/>
      <c r="R204" s="74"/>
      <c r="S204" s="49"/>
      <c r="T204" s="49"/>
      <c r="U204" s="49"/>
    </row>
    <row r="205" spans="1:21" s="50" customFormat="1" ht="13.5" hidden="1" customHeight="1">
      <c r="A205" s="914"/>
      <c r="B205" s="889"/>
      <c r="C205" s="81" t="s">
        <v>14</v>
      </c>
      <c r="D205" s="45">
        <f>E205+M205</f>
        <v>0</v>
      </c>
      <c r="E205" s="46">
        <f>F205+I205+J205+K205+L205</f>
        <v>0</v>
      </c>
      <c r="F205" s="46">
        <f>G205+H205</f>
        <v>0</v>
      </c>
      <c r="G205" s="46"/>
      <c r="H205" s="46"/>
      <c r="I205" s="46"/>
      <c r="J205" s="46"/>
      <c r="K205" s="46"/>
      <c r="L205" s="46"/>
      <c r="M205" s="46">
        <f t="shared" si="91"/>
        <v>0</v>
      </c>
      <c r="N205" s="46"/>
      <c r="O205" s="46"/>
      <c r="P205" s="46"/>
      <c r="Q205" s="74"/>
      <c r="R205" s="74"/>
      <c r="S205" s="49"/>
      <c r="T205" s="49"/>
      <c r="U205" s="49"/>
    </row>
    <row r="206" spans="1:21" s="50" customFormat="1" ht="13.5" hidden="1" customHeight="1">
      <c r="A206" s="915"/>
      <c r="B206" s="890"/>
      <c r="C206" s="81" t="s">
        <v>15</v>
      </c>
      <c r="D206" s="45">
        <f>D204+D205</f>
        <v>19129</v>
      </c>
      <c r="E206" s="46">
        <f t="shared" ref="E206:P206" si="96">E204+E205</f>
        <v>0</v>
      </c>
      <c r="F206" s="46">
        <f t="shared" si="96"/>
        <v>0</v>
      </c>
      <c r="G206" s="46">
        <f t="shared" si="96"/>
        <v>0</v>
      </c>
      <c r="H206" s="46">
        <f t="shared" si="96"/>
        <v>0</v>
      </c>
      <c r="I206" s="46">
        <f t="shared" si="96"/>
        <v>0</v>
      </c>
      <c r="J206" s="46">
        <f t="shared" si="96"/>
        <v>0</v>
      </c>
      <c r="K206" s="46">
        <f t="shared" si="96"/>
        <v>0</v>
      </c>
      <c r="L206" s="46">
        <f t="shared" si="96"/>
        <v>0</v>
      </c>
      <c r="M206" s="46">
        <f t="shared" si="96"/>
        <v>19129</v>
      </c>
      <c r="N206" s="46">
        <f t="shared" si="96"/>
        <v>19129</v>
      </c>
      <c r="O206" s="46">
        <f t="shared" si="96"/>
        <v>19129</v>
      </c>
      <c r="P206" s="46">
        <f t="shared" si="96"/>
        <v>0</v>
      </c>
      <c r="Q206" s="74"/>
      <c r="R206" s="74"/>
      <c r="S206" s="49"/>
      <c r="T206" s="49"/>
      <c r="U206" s="49"/>
    </row>
    <row r="207" spans="1:21" s="50" customFormat="1" ht="13.5" hidden="1" customHeight="1">
      <c r="A207" s="892" t="s">
        <v>144</v>
      </c>
      <c r="B207" s="888" t="s">
        <v>145</v>
      </c>
      <c r="C207" s="81" t="s">
        <v>13</v>
      </c>
      <c r="D207" s="45">
        <f t="shared" si="88"/>
        <v>7410220</v>
      </c>
      <c r="E207" s="46">
        <f t="shared" si="89"/>
        <v>7397250</v>
      </c>
      <c r="F207" s="46">
        <f t="shared" si="90"/>
        <v>7383050</v>
      </c>
      <c r="G207" s="46">
        <v>5416913</v>
      </c>
      <c r="H207" s="46">
        <f>8000+140000+335883+200060+886960+3200+137450+11600+540+5500+13500+217944+5500</f>
        <v>1966137</v>
      </c>
      <c r="I207" s="46">
        <v>0</v>
      </c>
      <c r="J207" s="46">
        <v>14200</v>
      </c>
      <c r="K207" s="46">
        <v>0</v>
      </c>
      <c r="L207" s="46">
        <v>0</v>
      </c>
      <c r="M207" s="46">
        <f t="shared" si="91"/>
        <v>12970</v>
      </c>
      <c r="N207" s="46">
        <v>12970</v>
      </c>
      <c r="O207" s="46">
        <v>0</v>
      </c>
      <c r="P207" s="46">
        <v>0</v>
      </c>
      <c r="Q207" s="74"/>
      <c r="R207" s="74"/>
      <c r="S207" s="49"/>
      <c r="T207" s="49"/>
      <c r="U207" s="49"/>
    </row>
    <row r="208" spans="1:21" s="50" customFormat="1" ht="13.5" hidden="1" customHeight="1">
      <c r="A208" s="893"/>
      <c r="B208" s="889"/>
      <c r="C208" s="81" t="s">
        <v>14</v>
      </c>
      <c r="D208" s="45">
        <f t="shared" si="88"/>
        <v>0</v>
      </c>
      <c r="E208" s="46">
        <f t="shared" si="89"/>
        <v>0</v>
      </c>
      <c r="F208" s="46">
        <f t="shared" si="90"/>
        <v>0</v>
      </c>
      <c r="G208" s="46"/>
      <c r="H208" s="46"/>
      <c r="I208" s="46"/>
      <c r="J208" s="46"/>
      <c r="K208" s="46"/>
      <c r="L208" s="46"/>
      <c r="M208" s="46">
        <f t="shared" si="91"/>
        <v>0</v>
      </c>
      <c r="N208" s="46"/>
      <c r="O208" s="46"/>
      <c r="P208" s="46"/>
      <c r="Q208" s="74"/>
      <c r="R208" s="74"/>
      <c r="S208" s="49"/>
      <c r="T208" s="49"/>
      <c r="U208" s="49"/>
    </row>
    <row r="209" spans="1:21" s="50" customFormat="1" ht="13.5" hidden="1" customHeight="1">
      <c r="A209" s="894"/>
      <c r="B209" s="890"/>
      <c r="C209" s="81" t="s">
        <v>15</v>
      </c>
      <c r="D209" s="45">
        <f>D207+D208</f>
        <v>7410220</v>
      </c>
      <c r="E209" s="46">
        <f t="shared" ref="E209:P209" si="97">E207+E208</f>
        <v>7397250</v>
      </c>
      <c r="F209" s="46">
        <f t="shared" si="97"/>
        <v>7383050</v>
      </c>
      <c r="G209" s="46">
        <f t="shared" si="97"/>
        <v>5416913</v>
      </c>
      <c r="H209" s="46">
        <f t="shared" si="97"/>
        <v>1966137</v>
      </c>
      <c r="I209" s="46">
        <f t="shared" si="97"/>
        <v>0</v>
      </c>
      <c r="J209" s="46">
        <f t="shared" si="97"/>
        <v>14200</v>
      </c>
      <c r="K209" s="46">
        <f t="shared" si="97"/>
        <v>0</v>
      </c>
      <c r="L209" s="46">
        <f t="shared" si="97"/>
        <v>0</v>
      </c>
      <c r="M209" s="46">
        <f t="shared" si="97"/>
        <v>12970</v>
      </c>
      <c r="N209" s="46">
        <f t="shared" si="97"/>
        <v>12970</v>
      </c>
      <c r="O209" s="46">
        <f t="shared" si="97"/>
        <v>0</v>
      </c>
      <c r="P209" s="46">
        <f t="shared" si="97"/>
        <v>0</v>
      </c>
      <c r="Q209" s="74"/>
      <c r="R209" s="74"/>
      <c r="S209" s="49"/>
      <c r="T209" s="49"/>
      <c r="U209" s="49"/>
    </row>
    <row r="210" spans="1:21" s="50" customFormat="1" ht="13.5" hidden="1" customHeight="1">
      <c r="A210" s="892" t="s">
        <v>146</v>
      </c>
      <c r="B210" s="898" t="s">
        <v>147</v>
      </c>
      <c r="C210" s="81" t="s">
        <v>13</v>
      </c>
      <c r="D210" s="45">
        <f t="shared" si="88"/>
        <v>3445663</v>
      </c>
      <c r="E210" s="46">
        <f t="shared" si="89"/>
        <v>3445663</v>
      </c>
      <c r="F210" s="46">
        <f t="shared" si="90"/>
        <v>3439187</v>
      </c>
      <c r="G210" s="46">
        <v>3240266</v>
      </c>
      <c r="H210" s="46">
        <f>16672+11560+43000+4393+2722+29910+8328+1503+1800+77433+1600</f>
        <v>198921</v>
      </c>
      <c r="I210" s="46">
        <v>0</v>
      </c>
      <c r="J210" s="46">
        <v>6476</v>
      </c>
      <c r="K210" s="46">
        <v>0</v>
      </c>
      <c r="L210" s="46">
        <v>0</v>
      </c>
      <c r="M210" s="46">
        <f t="shared" si="91"/>
        <v>0</v>
      </c>
      <c r="N210" s="46">
        <v>0</v>
      </c>
      <c r="O210" s="46">
        <v>0</v>
      </c>
      <c r="P210" s="46">
        <v>0</v>
      </c>
      <c r="Q210" s="74"/>
      <c r="R210" s="74"/>
      <c r="S210" s="49"/>
      <c r="T210" s="49"/>
      <c r="U210" s="49"/>
    </row>
    <row r="211" spans="1:21" s="50" customFormat="1" ht="13.5" hidden="1" customHeight="1">
      <c r="A211" s="893"/>
      <c r="B211" s="899"/>
      <c r="C211" s="81" t="s">
        <v>14</v>
      </c>
      <c r="D211" s="45">
        <f t="shared" si="88"/>
        <v>0</v>
      </c>
      <c r="E211" s="46">
        <f t="shared" si="89"/>
        <v>0</v>
      </c>
      <c r="F211" s="46">
        <f t="shared" si="90"/>
        <v>0</v>
      </c>
      <c r="G211" s="46"/>
      <c r="H211" s="46"/>
      <c r="I211" s="46"/>
      <c r="J211" s="46"/>
      <c r="K211" s="46"/>
      <c r="L211" s="46"/>
      <c r="M211" s="46">
        <f t="shared" si="91"/>
        <v>0</v>
      </c>
      <c r="N211" s="46"/>
      <c r="O211" s="46"/>
      <c r="P211" s="46"/>
      <c r="Q211" s="74"/>
      <c r="R211" s="74"/>
      <c r="S211" s="49"/>
      <c r="T211" s="49"/>
      <c r="U211" s="49"/>
    </row>
    <row r="212" spans="1:21" s="50" customFormat="1" ht="13.5" hidden="1" customHeight="1">
      <c r="A212" s="894"/>
      <c r="B212" s="900"/>
      <c r="C212" s="81" t="s">
        <v>15</v>
      </c>
      <c r="D212" s="45">
        <f>D210+D211</f>
        <v>3445663</v>
      </c>
      <c r="E212" s="46">
        <f t="shared" ref="E212:P212" si="98">E210+E211</f>
        <v>3445663</v>
      </c>
      <c r="F212" s="46">
        <f t="shared" si="98"/>
        <v>3439187</v>
      </c>
      <c r="G212" s="46">
        <f t="shared" si="98"/>
        <v>3240266</v>
      </c>
      <c r="H212" s="46">
        <f t="shared" si="98"/>
        <v>198921</v>
      </c>
      <c r="I212" s="46">
        <f t="shared" si="98"/>
        <v>0</v>
      </c>
      <c r="J212" s="46">
        <f t="shared" si="98"/>
        <v>6476</v>
      </c>
      <c r="K212" s="46">
        <f t="shared" si="98"/>
        <v>0</v>
      </c>
      <c r="L212" s="46">
        <f t="shared" si="98"/>
        <v>0</v>
      </c>
      <c r="M212" s="46">
        <f t="shared" si="98"/>
        <v>0</v>
      </c>
      <c r="N212" s="46">
        <f t="shared" si="98"/>
        <v>0</v>
      </c>
      <c r="O212" s="46">
        <f t="shared" si="98"/>
        <v>0</v>
      </c>
      <c r="P212" s="46">
        <f t="shared" si="98"/>
        <v>0</v>
      </c>
      <c r="Q212" s="74"/>
      <c r="R212" s="74"/>
      <c r="S212" s="49"/>
      <c r="T212" s="49"/>
      <c r="U212" s="49"/>
    </row>
    <row r="213" spans="1:21" s="50" customFormat="1" ht="14.85" customHeight="1">
      <c r="A213" s="892" t="s">
        <v>148</v>
      </c>
      <c r="B213" s="888" t="s">
        <v>149</v>
      </c>
      <c r="C213" s="81" t="s">
        <v>13</v>
      </c>
      <c r="D213" s="45">
        <f t="shared" si="88"/>
        <v>15950446</v>
      </c>
      <c r="E213" s="46">
        <f t="shared" si="89"/>
        <v>15950446</v>
      </c>
      <c r="F213" s="46">
        <f t="shared" si="90"/>
        <v>15322819</v>
      </c>
      <c r="G213" s="46">
        <v>14038785</v>
      </c>
      <c r="H213" s="46">
        <f>57600+26500+310000+11500+4300+434719+12600+1500+4100+4400+411715+5100</f>
        <v>1284034</v>
      </c>
      <c r="I213" s="46">
        <v>0</v>
      </c>
      <c r="J213" s="46">
        <v>55419</v>
      </c>
      <c r="K213" s="46">
        <f>15950446-12400-10910523-779354-1977835-259419-57600-26500-310000-11500-4300-434719-12600-1500-4100-4400-411715-5100-154673</f>
        <v>572208</v>
      </c>
      <c r="L213" s="46">
        <v>0</v>
      </c>
      <c r="M213" s="46">
        <f t="shared" si="91"/>
        <v>0</v>
      </c>
      <c r="N213" s="46">
        <v>0</v>
      </c>
      <c r="O213" s="46">
        <v>0</v>
      </c>
      <c r="P213" s="46">
        <v>0</v>
      </c>
      <c r="Q213" s="74"/>
      <c r="R213" s="74"/>
      <c r="S213" s="49"/>
      <c r="T213" s="49"/>
      <c r="U213" s="49"/>
    </row>
    <row r="214" spans="1:21" s="50" customFormat="1" ht="14.85" customHeight="1">
      <c r="A214" s="893"/>
      <c r="B214" s="889"/>
      <c r="C214" s="81" t="s">
        <v>14</v>
      </c>
      <c r="D214" s="45">
        <f t="shared" si="88"/>
        <v>203471</v>
      </c>
      <c r="E214" s="46">
        <f t="shared" si="89"/>
        <v>203471</v>
      </c>
      <c r="F214" s="46">
        <f t="shared" si="90"/>
        <v>0</v>
      </c>
      <c r="G214" s="46"/>
      <c r="H214" s="46"/>
      <c r="I214" s="46"/>
      <c r="J214" s="46"/>
      <c r="K214" s="46">
        <v>203471</v>
      </c>
      <c r="L214" s="46"/>
      <c r="M214" s="46">
        <f t="shared" si="91"/>
        <v>0</v>
      </c>
      <c r="N214" s="46"/>
      <c r="O214" s="46"/>
      <c r="P214" s="46"/>
      <c r="Q214" s="74"/>
      <c r="R214" s="74"/>
      <c r="S214" s="49"/>
      <c r="T214" s="49"/>
      <c r="U214" s="49"/>
    </row>
    <row r="215" spans="1:21" s="50" customFormat="1" ht="14.85" customHeight="1">
      <c r="A215" s="894"/>
      <c r="B215" s="890"/>
      <c r="C215" s="81" t="s">
        <v>15</v>
      </c>
      <c r="D215" s="45">
        <f>D213+D214</f>
        <v>16153917</v>
      </c>
      <c r="E215" s="46">
        <f t="shared" ref="E215:P215" si="99">E213+E214</f>
        <v>16153917</v>
      </c>
      <c r="F215" s="46">
        <f t="shared" si="99"/>
        <v>15322819</v>
      </c>
      <c r="G215" s="46">
        <f t="shared" si="99"/>
        <v>14038785</v>
      </c>
      <c r="H215" s="46">
        <f t="shared" si="99"/>
        <v>1284034</v>
      </c>
      <c r="I215" s="46">
        <f t="shared" si="99"/>
        <v>0</v>
      </c>
      <c r="J215" s="46">
        <f t="shared" si="99"/>
        <v>55419</v>
      </c>
      <c r="K215" s="46">
        <f t="shared" si="99"/>
        <v>775679</v>
      </c>
      <c r="L215" s="46">
        <f t="shared" si="99"/>
        <v>0</v>
      </c>
      <c r="M215" s="46">
        <f t="shared" si="99"/>
        <v>0</v>
      </c>
      <c r="N215" s="46">
        <f t="shared" si="99"/>
        <v>0</v>
      </c>
      <c r="O215" s="46">
        <f t="shared" si="99"/>
        <v>0</v>
      </c>
      <c r="P215" s="46">
        <f t="shared" si="99"/>
        <v>0</v>
      </c>
      <c r="Q215" s="74"/>
      <c r="R215" s="74"/>
      <c r="S215" s="49"/>
      <c r="T215" s="49"/>
      <c r="U215" s="49"/>
    </row>
    <row r="216" spans="1:21" s="26" customFormat="1" ht="14.85" customHeight="1">
      <c r="A216" s="892" t="s">
        <v>150</v>
      </c>
      <c r="B216" s="888" t="s">
        <v>204</v>
      </c>
      <c r="C216" s="81" t="s">
        <v>13</v>
      </c>
      <c r="D216" s="45">
        <f t="shared" si="88"/>
        <v>13441559</v>
      </c>
      <c r="E216" s="46">
        <f t="shared" si="89"/>
        <v>2939876</v>
      </c>
      <c r="F216" s="46">
        <f t="shared" si="90"/>
        <v>2749047</v>
      </c>
      <c r="G216" s="46">
        <v>2452142</v>
      </c>
      <c r="H216" s="46">
        <v>296905</v>
      </c>
      <c r="I216" s="46">
        <v>0</v>
      </c>
      <c r="J216" s="46">
        <v>2000</v>
      </c>
      <c r="K216" s="46">
        <f>108487+19144+18649+3291+2658+469+30712+5419</f>
        <v>188829</v>
      </c>
      <c r="L216" s="46">
        <v>0</v>
      </c>
      <c r="M216" s="46">
        <f t="shared" si="91"/>
        <v>10501683</v>
      </c>
      <c r="N216" s="46">
        <v>10501683</v>
      </c>
      <c r="O216" s="46">
        <f>7112558+1255158</f>
        <v>8367716</v>
      </c>
      <c r="P216" s="46">
        <v>0</v>
      </c>
      <c r="Q216" s="56"/>
      <c r="R216" s="56"/>
      <c r="S216" s="32"/>
      <c r="T216" s="32"/>
      <c r="U216" s="32"/>
    </row>
    <row r="217" spans="1:21" s="26" customFormat="1" ht="14.85" customHeight="1">
      <c r="A217" s="893"/>
      <c r="B217" s="889"/>
      <c r="C217" s="81" t="s">
        <v>14</v>
      </c>
      <c r="D217" s="45">
        <f t="shared" si="88"/>
        <v>81451</v>
      </c>
      <c r="E217" s="46">
        <f t="shared" si="89"/>
        <v>9527</v>
      </c>
      <c r="F217" s="46">
        <f t="shared" si="90"/>
        <v>0</v>
      </c>
      <c r="G217" s="46"/>
      <c r="H217" s="46"/>
      <c r="I217" s="46"/>
      <c r="J217" s="46"/>
      <c r="K217" s="46">
        <f>81451-71924</f>
        <v>9527</v>
      </c>
      <c r="L217" s="46"/>
      <c r="M217" s="46">
        <f t="shared" si="91"/>
        <v>71924</v>
      </c>
      <c r="N217" s="46">
        <v>71924</v>
      </c>
      <c r="O217" s="46"/>
      <c r="P217" s="46"/>
      <c r="Q217" s="56"/>
      <c r="R217" s="56"/>
      <c r="S217" s="32"/>
      <c r="T217" s="32"/>
      <c r="U217" s="32"/>
    </row>
    <row r="218" spans="1:21" s="26" customFormat="1" ht="14.85" customHeight="1">
      <c r="A218" s="894"/>
      <c r="B218" s="890"/>
      <c r="C218" s="81" t="s">
        <v>15</v>
      </c>
      <c r="D218" s="45">
        <f>D216+D217</f>
        <v>13523010</v>
      </c>
      <c r="E218" s="46">
        <f t="shared" ref="E218:P218" si="100">E216+E217</f>
        <v>2949403</v>
      </c>
      <c r="F218" s="46">
        <f t="shared" si="100"/>
        <v>2749047</v>
      </c>
      <c r="G218" s="46">
        <f t="shared" si="100"/>
        <v>2452142</v>
      </c>
      <c r="H218" s="46">
        <f t="shared" si="100"/>
        <v>296905</v>
      </c>
      <c r="I218" s="46">
        <f t="shared" si="100"/>
        <v>0</v>
      </c>
      <c r="J218" s="46">
        <f t="shared" si="100"/>
        <v>2000</v>
      </c>
      <c r="K218" s="46">
        <f t="shared" si="100"/>
        <v>198356</v>
      </c>
      <c r="L218" s="46">
        <f t="shared" si="100"/>
        <v>0</v>
      </c>
      <c r="M218" s="46">
        <f t="shared" si="100"/>
        <v>10573607</v>
      </c>
      <c r="N218" s="46">
        <f t="shared" si="100"/>
        <v>10573607</v>
      </c>
      <c r="O218" s="46">
        <f t="shared" si="100"/>
        <v>8367716</v>
      </c>
      <c r="P218" s="46">
        <f t="shared" si="100"/>
        <v>0</v>
      </c>
      <c r="Q218" s="56"/>
      <c r="R218" s="56"/>
      <c r="S218" s="32"/>
      <c r="T218" s="32"/>
      <c r="U218" s="32"/>
    </row>
    <row r="219" spans="1:21" s="50" customFormat="1" ht="13.5" hidden="1" customHeight="1">
      <c r="A219" s="892" t="s">
        <v>72</v>
      </c>
      <c r="B219" s="888" t="s">
        <v>151</v>
      </c>
      <c r="C219" s="81" t="s">
        <v>13</v>
      </c>
      <c r="D219" s="45">
        <f t="shared" si="88"/>
        <v>9929810</v>
      </c>
      <c r="E219" s="46">
        <f t="shared" si="89"/>
        <v>9179810</v>
      </c>
      <c r="F219" s="46">
        <f t="shared" si="90"/>
        <v>9171410</v>
      </c>
      <c r="G219" s="46">
        <v>8178293</v>
      </c>
      <c r="H219" s="46">
        <v>993117</v>
      </c>
      <c r="I219" s="46">
        <v>0</v>
      </c>
      <c r="J219" s="46">
        <v>8400</v>
      </c>
      <c r="K219" s="46">
        <v>0</v>
      </c>
      <c r="L219" s="46">
        <v>0</v>
      </c>
      <c r="M219" s="46">
        <f t="shared" si="91"/>
        <v>750000</v>
      </c>
      <c r="N219" s="46">
        <v>750000</v>
      </c>
      <c r="O219" s="46">
        <v>0</v>
      </c>
      <c r="P219" s="46">
        <v>0</v>
      </c>
      <c r="Q219" s="74"/>
      <c r="R219" s="74"/>
      <c r="S219" s="49"/>
      <c r="T219" s="49"/>
      <c r="U219" s="49"/>
    </row>
    <row r="220" spans="1:21" s="50" customFormat="1" ht="13.5" hidden="1" customHeight="1">
      <c r="A220" s="893"/>
      <c r="B220" s="889"/>
      <c r="C220" s="81" t="s">
        <v>14</v>
      </c>
      <c r="D220" s="45">
        <f t="shared" si="88"/>
        <v>0</v>
      </c>
      <c r="E220" s="46">
        <f t="shared" si="89"/>
        <v>0</v>
      </c>
      <c r="F220" s="46">
        <f t="shared" si="90"/>
        <v>0</v>
      </c>
      <c r="G220" s="46"/>
      <c r="H220" s="46"/>
      <c r="I220" s="46"/>
      <c r="J220" s="46"/>
      <c r="K220" s="46"/>
      <c r="L220" s="46"/>
      <c r="M220" s="46">
        <f t="shared" si="91"/>
        <v>0</v>
      </c>
      <c r="N220" s="46"/>
      <c r="O220" s="46"/>
      <c r="P220" s="46"/>
      <c r="Q220" s="74"/>
      <c r="R220" s="74"/>
      <c r="S220" s="49"/>
      <c r="T220" s="49"/>
      <c r="U220" s="49"/>
    </row>
    <row r="221" spans="1:21" s="50" customFormat="1" ht="13.5" hidden="1" customHeight="1">
      <c r="A221" s="894"/>
      <c r="B221" s="890"/>
      <c r="C221" s="81" t="s">
        <v>15</v>
      </c>
      <c r="D221" s="45">
        <f>D219+D220</f>
        <v>9929810</v>
      </c>
      <c r="E221" s="46">
        <f t="shared" ref="E221:P221" si="101">E219+E220</f>
        <v>9179810</v>
      </c>
      <c r="F221" s="46">
        <f t="shared" si="101"/>
        <v>9171410</v>
      </c>
      <c r="G221" s="46">
        <f t="shared" si="101"/>
        <v>8178293</v>
      </c>
      <c r="H221" s="46">
        <f t="shared" si="101"/>
        <v>993117</v>
      </c>
      <c r="I221" s="46">
        <f t="shared" si="101"/>
        <v>0</v>
      </c>
      <c r="J221" s="46">
        <f t="shared" si="101"/>
        <v>8400</v>
      </c>
      <c r="K221" s="46">
        <f t="shared" si="101"/>
        <v>0</v>
      </c>
      <c r="L221" s="46">
        <f t="shared" si="101"/>
        <v>0</v>
      </c>
      <c r="M221" s="46">
        <f t="shared" si="101"/>
        <v>750000</v>
      </c>
      <c r="N221" s="46">
        <f t="shared" si="101"/>
        <v>750000</v>
      </c>
      <c r="O221" s="46">
        <f t="shared" si="101"/>
        <v>0</v>
      </c>
      <c r="P221" s="46">
        <f t="shared" si="101"/>
        <v>0</v>
      </c>
      <c r="Q221" s="74"/>
      <c r="R221" s="74"/>
      <c r="S221" s="49"/>
      <c r="T221" s="49"/>
      <c r="U221" s="49"/>
    </row>
    <row r="222" spans="1:21" s="50" customFormat="1" ht="13.5" hidden="1" customHeight="1">
      <c r="A222" s="892" t="s">
        <v>33</v>
      </c>
      <c r="B222" s="888" t="s">
        <v>152</v>
      </c>
      <c r="C222" s="81" t="s">
        <v>13</v>
      </c>
      <c r="D222" s="45">
        <f t="shared" si="88"/>
        <v>8142247</v>
      </c>
      <c r="E222" s="46">
        <f t="shared" si="89"/>
        <v>8084247</v>
      </c>
      <c r="F222" s="46">
        <f t="shared" si="90"/>
        <v>8078207</v>
      </c>
      <c r="G222" s="46">
        <v>6864113</v>
      </c>
      <c r="H222" s="46">
        <f>117627+110700+259262+347545+4882+85969+20458+2800+10448+239980+7223+7200</f>
        <v>1214094</v>
      </c>
      <c r="I222" s="46">
        <v>0</v>
      </c>
      <c r="J222" s="46">
        <v>6040</v>
      </c>
      <c r="K222" s="46">
        <v>0</v>
      </c>
      <c r="L222" s="46">
        <v>0</v>
      </c>
      <c r="M222" s="46">
        <f t="shared" si="91"/>
        <v>58000</v>
      </c>
      <c r="N222" s="46">
        <v>58000</v>
      </c>
      <c r="O222" s="46">
        <v>0</v>
      </c>
      <c r="P222" s="46">
        <v>0</v>
      </c>
      <c r="Q222" s="74"/>
      <c r="R222" s="74"/>
      <c r="S222" s="49"/>
      <c r="T222" s="49"/>
      <c r="U222" s="49"/>
    </row>
    <row r="223" spans="1:21" s="50" customFormat="1" ht="13.5" hidden="1" customHeight="1">
      <c r="A223" s="893"/>
      <c r="B223" s="889"/>
      <c r="C223" s="81" t="s">
        <v>14</v>
      </c>
      <c r="D223" s="45">
        <f t="shared" si="88"/>
        <v>0</v>
      </c>
      <c r="E223" s="46">
        <f t="shared" si="89"/>
        <v>0</v>
      </c>
      <c r="F223" s="46">
        <f t="shared" si="90"/>
        <v>0</v>
      </c>
      <c r="G223" s="46"/>
      <c r="H223" s="46"/>
      <c r="I223" s="46"/>
      <c r="J223" s="46"/>
      <c r="K223" s="46"/>
      <c r="L223" s="46"/>
      <c r="M223" s="46">
        <f t="shared" si="91"/>
        <v>0</v>
      </c>
      <c r="N223" s="46"/>
      <c r="O223" s="46"/>
      <c r="P223" s="46"/>
      <c r="Q223" s="74"/>
      <c r="R223" s="74"/>
      <c r="S223" s="49"/>
      <c r="T223" s="49"/>
      <c r="U223" s="49"/>
    </row>
    <row r="224" spans="1:21" s="50" customFormat="1" ht="13.5" hidden="1" customHeight="1">
      <c r="A224" s="894"/>
      <c r="B224" s="890"/>
      <c r="C224" s="81" t="s">
        <v>15</v>
      </c>
      <c r="D224" s="45">
        <f>D222+D223</f>
        <v>8142247</v>
      </c>
      <c r="E224" s="46">
        <f t="shared" ref="E224:P224" si="102">E222+E223</f>
        <v>8084247</v>
      </c>
      <c r="F224" s="46">
        <f t="shared" si="102"/>
        <v>8078207</v>
      </c>
      <c r="G224" s="46">
        <f t="shared" si="102"/>
        <v>6864113</v>
      </c>
      <c r="H224" s="46">
        <f t="shared" si="102"/>
        <v>1214094</v>
      </c>
      <c r="I224" s="46">
        <f t="shared" si="102"/>
        <v>0</v>
      </c>
      <c r="J224" s="46">
        <f t="shared" si="102"/>
        <v>6040</v>
      </c>
      <c r="K224" s="46">
        <f t="shared" si="102"/>
        <v>0</v>
      </c>
      <c r="L224" s="46">
        <f t="shared" si="102"/>
        <v>0</v>
      </c>
      <c r="M224" s="46">
        <f t="shared" si="102"/>
        <v>58000</v>
      </c>
      <c r="N224" s="46">
        <f t="shared" si="102"/>
        <v>58000</v>
      </c>
      <c r="O224" s="46">
        <f t="shared" si="102"/>
        <v>0</v>
      </c>
      <c r="P224" s="46">
        <f t="shared" si="102"/>
        <v>0</v>
      </c>
      <c r="Q224" s="74"/>
      <c r="R224" s="74"/>
      <c r="S224" s="49"/>
      <c r="T224" s="49"/>
      <c r="U224" s="49"/>
    </row>
    <row r="225" spans="1:21" s="26" customFormat="1" ht="23.45" hidden="1" customHeight="1">
      <c r="A225" s="892" t="s">
        <v>191</v>
      </c>
      <c r="B225" s="888" t="s">
        <v>192</v>
      </c>
      <c r="C225" s="81" t="s">
        <v>13</v>
      </c>
      <c r="D225" s="45">
        <f t="shared" si="88"/>
        <v>1516342</v>
      </c>
      <c r="E225" s="46">
        <f t="shared" si="89"/>
        <v>1516342</v>
      </c>
      <c r="F225" s="46">
        <f t="shared" si="90"/>
        <v>1510356</v>
      </c>
      <c r="G225" s="46">
        <v>1396623</v>
      </c>
      <c r="H225" s="46">
        <f>6000+3000+30000+1500+1000+29200+2500+40033+500</f>
        <v>113733</v>
      </c>
      <c r="I225" s="46">
        <v>5719</v>
      </c>
      <c r="J225" s="46">
        <v>267</v>
      </c>
      <c r="K225" s="46">
        <v>0</v>
      </c>
      <c r="L225" s="46">
        <v>0</v>
      </c>
      <c r="M225" s="46">
        <f t="shared" si="91"/>
        <v>0</v>
      </c>
      <c r="N225" s="46">
        <v>0</v>
      </c>
      <c r="O225" s="46">
        <v>0</v>
      </c>
      <c r="P225" s="46">
        <v>0</v>
      </c>
      <c r="Q225" s="56"/>
      <c r="R225" s="56"/>
      <c r="S225" s="32"/>
      <c r="T225" s="32"/>
      <c r="U225" s="32"/>
    </row>
    <row r="226" spans="1:21" s="26" customFormat="1" ht="23.45" hidden="1" customHeight="1">
      <c r="A226" s="893"/>
      <c r="B226" s="889"/>
      <c r="C226" s="81" t="s">
        <v>14</v>
      </c>
      <c r="D226" s="45">
        <f t="shared" si="88"/>
        <v>0</v>
      </c>
      <c r="E226" s="46">
        <f t="shared" si="89"/>
        <v>0</v>
      </c>
      <c r="F226" s="46">
        <f t="shared" si="90"/>
        <v>0</v>
      </c>
      <c r="G226" s="46"/>
      <c r="H226" s="46"/>
      <c r="I226" s="46"/>
      <c r="J226" s="46"/>
      <c r="K226" s="46"/>
      <c r="L226" s="46"/>
      <c r="M226" s="46">
        <f t="shared" si="91"/>
        <v>0</v>
      </c>
      <c r="N226" s="46"/>
      <c r="O226" s="46"/>
      <c r="P226" s="46"/>
      <c r="Q226" s="56"/>
      <c r="R226" s="56"/>
      <c r="S226" s="32"/>
      <c r="T226" s="32"/>
      <c r="U226" s="32"/>
    </row>
    <row r="227" spans="1:21" s="26" customFormat="1" ht="23.45" hidden="1" customHeight="1">
      <c r="A227" s="894"/>
      <c r="B227" s="890"/>
      <c r="C227" s="79" t="s">
        <v>15</v>
      </c>
      <c r="D227" s="45">
        <f>D225+D226</f>
        <v>1516342</v>
      </c>
      <c r="E227" s="46">
        <f t="shared" ref="E227:P227" si="103">E225+E226</f>
        <v>1516342</v>
      </c>
      <c r="F227" s="46">
        <f t="shared" si="103"/>
        <v>1510356</v>
      </c>
      <c r="G227" s="46">
        <f t="shared" si="103"/>
        <v>1396623</v>
      </c>
      <c r="H227" s="46">
        <f t="shared" si="103"/>
        <v>113733</v>
      </c>
      <c r="I227" s="46">
        <f t="shared" si="103"/>
        <v>5719</v>
      </c>
      <c r="J227" s="46">
        <f t="shared" si="103"/>
        <v>267</v>
      </c>
      <c r="K227" s="46">
        <f t="shared" si="103"/>
        <v>0</v>
      </c>
      <c r="L227" s="46">
        <f t="shared" si="103"/>
        <v>0</v>
      </c>
      <c r="M227" s="46">
        <f t="shared" si="103"/>
        <v>0</v>
      </c>
      <c r="N227" s="46">
        <f t="shared" si="103"/>
        <v>0</v>
      </c>
      <c r="O227" s="46">
        <f t="shared" si="103"/>
        <v>0</v>
      </c>
      <c r="P227" s="46">
        <f t="shared" si="103"/>
        <v>0</v>
      </c>
      <c r="Q227" s="56"/>
      <c r="R227" s="56"/>
      <c r="S227" s="32"/>
      <c r="T227" s="32"/>
      <c r="U227" s="32"/>
    </row>
    <row r="228" spans="1:21" s="50" customFormat="1" ht="13.5" hidden="1" customHeight="1">
      <c r="A228" s="892" t="s">
        <v>153</v>
      </c>
      <c r="B228" s="888" t="s">
        <v>154</v>
      </c>
      <c r="C228" s="81" t="s">
        <v>13</v>
      </c>
      <c r="D228" s="45">
        <f t="shared" si="88"/>
        <v>165162</v>
      </c>
      <c r="E228" s="46">
        <f t="shared" si="89"/>
        <v>165162</v>
      </c>
      <c r="F228" s="46">
        <f t="shared" si="90"/>
        <v>165162</v>
      </c>
      <c r="G228" s="46">
        <v>165162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f t="shared" si="91"/>
        <v>0</v>
      </c>
      <c r="N228" s="46">
        <v>0</v>
      </c>
      <c r="O228" s="46">
        <v>0</v>
      </c>
      <c r="P228" s="46">
        <v>0</v>
      </c>
      <c r="Q228" s="74"/>
      <c r="R228" s="74"/>
      <c r="S228" s="49"/>
      <c r="T228" s="49"/>
      <c r="U228" s="49"/>
    </row>
    <row r="229" spans="1:21" s="50" customFormat="1" ht="13.5" hidden="1" customHeight="1">
      <c r="A229" s="893"/>
      <c r="B229" s="889"/>
      <c r="C229" s="81" t="s">
        <v>14</v>
      </c>
      <c r="D229" s="45">
        <f t="shared" si="88"/>
        <v>0</v>
      </c>
      <c r="E229" s="46">
        <f t="shared" si="89"/>
        <v>0</v>
      </c>
      <c r="F229" s="46">
        <f t="shared" si="90"/>
        <v>0</v>
      </c>
      <c r="G229" s="46"/>
      <c r="H229" s="46"/>
      <c r="I229" s="46"/>
      <c r="J229" s="46"/>
      <c r="K229" s="46"/>
      <c r="L229" s="46"/>
      <c r="M229" s="46">
        <f t="shared" si="91"/>
        <v>0</v>
      </c>
      <c r="N229" s="46"/>
      <c r="O229" s="46"/>
      <c r="P229" s="46"/>
      <c r="Q229" s="74"/>
      <c r="R229" s="74"/>
      <c r="S229" s="49"/>
      <c r="T229" s="49"/>
      <c r="U229" s="49"/>
    </row>
    <row r="230" spans="1:21" s="50" customFormat="1" ht="13.5" hidden="1" customHeight="1">
      <c r="A230" s="894"/>
      <c r="B230" s="890"/>
      <c r="C230" s="81" t="s">
        <v>15</v>
      </c>
      <c r="D230" s="45">
        <f>D228+D229</f>
        <v>165162</v>
      </c>
      <c r="E230" s="46">
        <f t="shared" ref="E230:P230" si="104">E228+E229</f>
        <v>165162</v>
      </c>
      <c r="F230" s="46">
        <f t="shared" si="104"/>
        <v>165162</v>
      </c>
      <c r="G230" s="46">
        <f t="shared" si="104"/>
        <v>165162</v>
      </c>
      <c r="H230" s="46">
        <f t="shared" si="104"/>
        <v>0</v>
      </c>
      <c r="I230" s="46">
        <f t="shared" si="104"/>
        <v>0</v>
      </c>
      <c r="J230" s="46">
        <f t="shared" si="104"/>
        <v>0</v>
      </c>
      <c r="K230" s="46">
        <f t="shared" si="104"/>
        <v>0</v>
      </c>
      <c r="L230" s="46">
        <f t="shared" si="104"/>
        <v>0</v>
      </c>
      <c r="M230" s="46">
        <f t="shared" si="104"/>
        <v>0</v>
      </c>
      <c r="N230" s="46">
        <f t="shared" si="104"/>
        <v>0</v>
      </c>
      <c r="O230" s="46">
        <f t="shared" si="104"/>
        <v>0</v>
      </c>
      <c r="P230" s="46">
        <f t="shared" si="104"/>
        <v>0</v>
      </c>
      <c r="Q230" s="74"/>
      <c r="R230" s="74"/>
      <c r="S230" s="49"/>
      <c r="T230" s="49"/>
      <c r="U230" s="49"/>
    </row>
    <row r="231" spans="1:21" s="50" customFormat="1" ht="18" hidden="1" customHeight="1">
      <c r="A231" s="913">
        <v>80153</v>
      </c>
      <c r="B231" s="888" t="s">
        <v>216</v>
      </c>
      <c r="C231" s="81" t="s">
        <v>13</v>
      </c>
      <c r="D231" s="45">
        <f>E231+M231</f>
        <v>25</v>
      </c>
      <c r="E231" s="46">
        <f>F231+I231+J231+K231+L231</f>
        <v>25</v>
      </c>
      <c r="F231" s="46">
        <f>G231+H231</f>
        <v>25</v>
      </c>
      <c r="G231" s="46">
        <v>0</v>
      </c>
      <c r="H231" s="46">
        <v>25</v>
      </c>
      <c r="I231" s="46">
        <v>0</v>
      </c>
      <c r="J231" s="46">
        <v>0</v>
      </c>
      <c r="K231" s="46">
        <v>0</v>
      </c>
      <c r="L231" s="46">
        <v>0</v>
      </c>
      <c r="M231" s="46">
        <f>N231+P231</f>
        <v>0</v>
      </c>
      <c r="N231" s="46">
        <v>0</v>
      </c>
      <c r="O231" s="46">
        <v>0</v>
      </c>
      <c r="P231" s="46">
        <v>0</v>
      </c>
      <c r="Q231" s="74"/>
      <c r="R231" s="74"/>
      <c r="S231" s="49"/>
      <c r="T231" s="49"/>
      <c r="U231" s="49"/>
    </row>
    <row r="232" spans="1:21" s="50" customFormat="1" ht="18" hidden="1" customHeight="1">
      <c r="A232" s="914"/>
      <c r="B232" s="889"/>
      <c r="C232" s="81" t="s">
        <v>14</v>
      </c>
      <c r="D232" s="45">
        <f>E232+M232</f>
        <v>0</v>
      </c>
      <c r="E232" s="46">
        <f>F232+I232+J232+K232+L232</f>
        <v>0</v>
      </c>
      <c r="F232" s="46">
        <f>G232+H232</f>
        <v>0</v>
      </c>
      <c r="G232" s="46"/>
      <c r="H232" s="46"/>
      <c r="I232" s="46"/>
      <c r="J232" s="46"/>
      <c r="K232" s="46"/>
      <c r="L232" s="46"/>
      <c r="M232" s="46">
        <f>N232+P232</f>
        <v>0</v>
      </c>
      <c r="N232" s="46"/>
      <c r="O232" s="46"/>
      <c r="P232" s="46"/>
      <c r="Q232" s="74"/>
      <c r="R232" s="74"/>
      <c r="S232" s="49"/>
      <c r="T232" s="49"/>
      <c r="U232" s="49"/>
    </row>
    <row r="233" spans="1:21" s="50" customFormat="1" ht="18" hidden="1" customHeight="1">
      <c r="A233" s="915"/>
      <c r="B233" s="890"/>
      <c r="C233" s="81" t="s">
        <v>15</v>
      </c>
      <c r="D233" s="45">
        <f>D231+D232</f>
        <v>25</v>
      </c>
      <c r="E233" s="46">
        <f t="shared" ref="E233:P233" si="105">E231+E232</f>
        <v>25</v>
      </c>
      <c r="F233" s="46">
        <f t="shared" si="105"/>
        <v>25</v>
      </c>
      <c r="G233" s="46">
        <f t="shared" si="105"/>
        <v>0</v>
      </c>
      <c r="H233" s="46">
        <f t="shared" si="105"/>
        <v>25</v>
      </c>
      <c r="I233" s="46">
        <f t="shared" si="105"/>
        <v>0</v>
      </c>
      <c r="J233" s="46">
        <f t="shared" si="105"/>
        <v>0</v>
      </c>
      <c r="K233" s="46">
        <f t="shared" si="105"/>
        <v>0</v>
      </c>
      <c r="L233" s="46">
        <f t="shared" si="105"/>
        <v>0</v>
      </c>
      <c r="M233" s="46">
        <f t="shared" si="105"/>
        <v>0</v>
      </c>
      <c r="N233" s="46">
        <f t="shared" si="105"/>
        <v>0</v>
      </c>
      <c r="O233" s="46">
        <f t="shared" si="105"/>
        <v>0</v>
      </c>
      <c r="P233" s="46">
        <f t="shared" si="105"/>
        <v>0</v>
      </c>
      <c r="Q233" s="74"/>
      <c r="R233" s="74"/>
      <c r="S233" s="49"/>
      <c r="T233" s="49"/>
      <c r="U233" s="49"/>
    </row>
    <row r="234" spans="1:21" s="50" customFormat="1" ht="14.85" customHeight="1">
      <c r="A234" s="892" t="s">
        <v>155</v>
      </c>
      <c r="B234" s="888" t="s">
        <v>51</v>
      </c>
      <c r="C234" s="81" t="s">
        <v>13</v>
      </c>
      <c r="D234" s="45">
        <f t="shared" si="88"/>
        <v>7249641</v>
      </c>
      <c r="E234" s="46">
        <f t="shared" si="89"/>
        <v>6589809</v>
      </c>
      <c r="F234" s="46">
        <f t="shared" si="90"/>
        <v>1741138</v>
      </c>
      <c r="G234" s="46">
        <v>317534</v>
      </c>
      <c r="H234" s="46">
        <v>1423604</v>
      </c>
      <c r="I234" s="46">
        <v>0</v>
      </c>
      <c r="J234" s="46">
        <v>91500</v>
      </c>
      <c r="K234" s="46">
        <v>4757171</v>
      </c>
      <c r="L234" s="46">
        <v>0</v>
      </c>
      <c r="M234" s="46">
        <f t="shared" si="91"/>
        <v>659832</v>
      </c>
      <c r="N234" s="46">
        <v>659832</v>
      </c>
      <c r="O234" s="46">
        <v>659832</v>
      </c>
      <c r="P234" s="46">
        <v>0</v>
      </c>
      <c r="Q234" s="74"/>
      <c r="R234" s="74"/>
      <c r="S234" s="49"/>
      <c r="T234" s="49"/>
      <c r="U234" s="49"/>
    </row>
    <row r="235" spans="1:21" s="50" customFormat="1" ht="14.85" customHeight="1">
      <c r="A235" s="893"/>
      <c r="B235" s="889"/>
      <c r="C235" s="81" t="s">
        <v>14</v>
      </c>
      <c r="D235" s="45">
        <f t="shared" si="88"/>
        <v>376170</v>
      </c>
      <c r="E235" s="46">
        <f t="shared" si="89"/>
        <v>376170</v>
      </c>
      <c r="F235" s="46">
        <f t="shared" si="90"/>
        <v>118651</v>
      </c>
      <c r="G235" s="46"/>
      <c r="H235" s="46">
        <v>118651</v>
      </c>
      <c r="I235" s="46"/>
      <c r="J235" s="46"/>
      <c r="K235" s="46">
        <f>376170-118651</f>
        <v>257519</v>
      </c>
      <c r="L235" s="46"/>
      <c r="M235" s="46">
        <f t="shared" si="91"/>
        <v>0</v>
      </c>
      <c r="N235" s="46"/>
      <c r="O235" s="46"/>
      <c r="P235" s="46"/>
      <c r="Q235" s="74"/>
      <c r="R235" s="74"/>
      <c r="S235" s="49"/>
      <c r="T235" s="49"/>
      <c r="U235" s="49"/>
    </row>
    <row r="236" spans="1:21" s="50" customFormat="1" ht="14.85" customHeight="1">
      <c r="A236" s="894"/>
      <c r="B236" s="890"/>
      <c r="C236" s="81" t="s">
        <v>15</v>
      </c>
      <c r="D236" s="45">
        <f>D234+D235</f>
        <v>7625811</v>
      </c>
      <c r="E236" s="46">
        <f t="shared" ref="E236:P236" si="106">E234+E235</f>
        <v>6965979</v>
      </c>
      <c r="F236" s="46">
        <f t="shared" si="106"/>
        <v>1859789</v>
      </c>
      <c r="G236" s="46">
        <f t="shared" si="106"/>
        <v>317534</v>
      </c>
      <c r="H236" s="46">
        <f t="shared" si="106"/>
        <v>1542255</v>
      </c>
      <c r="I236" s="46">
        <f t="shared" si="106"/>
        <v>0</v>
      </c>
      <c r="J236" s="46">
        <f t="shared" si="106"/>
        <v>91500</v>
      </c>
      <c r="K236" s="46">
        <f t="shared" si="106"/>
        <v>5014690</v>
      </c>
      <c r="L236" s="46">
        <f t="shared" si="106"/>
        <v>0</v>
      </c>
      <c r="M236" s="46">
        <f t="shared" si="106"/>
        <v>659832</v>
      </c>
      <c r="N236" s="46">
        <f t="shared" si="106"/>
        <v>659832</v>
      </c>
      <c r="O236" s="46">
        <f t="shared" si="106"/>
        <v>659832</v>
      </c>
      <c r="P236" s="46">
        <f t="shared" si="106"/>
        <v>0</v>
      </c>
      <c r="Q236" s="74"/>
      <c r="R236" s="74"/>
      <c r="S236" s="49"/>
      <c r="T236" s="49"/>
      <c r="U236" s="49"/>
    </row>
    <row r="237" spans="1:21" s="28" customFormat="1" ht="14.85" customHeight="1">
      <c r="A237" s="877" t="s">
        <v>34</v>
      </c>
      <c r="B237" s="880" t="s">
        <v>35</v>
      </c>
      <c r="C237" s="80" t="s">
        <v>13</v>
      </c>
      <c r="D237" s="54">
        <f>D240+D249+D252+D255+D258+D261+D267+D246+D243+D264</f>
        <v>144060276</v>
      </c>
      <c r="E237" s="44">
        <f t="shared" ref="E237:P238" si="107">E240+E249+E252+E255+E258+E261+E267+E246+E243+E264</f>
        <v>57230690</v>
      </c>
      <c r="F237" s="44">
        <f t="shared" si="107"/>
        <v>19118285</v>
      </c>
      <c r="G237" s="44">
        <f t="shared" si="107"/>
        <v>34236</v>
      </c>
      <c r="H237" s="44">
        <f t="shared" si="107"/>
        <v>19084049</v>
      </c>
      <c r="I237" s="44">
        <f t="shared" si="107"/>
        <v>2260000</v>
      </c>
      <c r="J237" s="44">
        <f t="shared" si="107"/>
        <v>0</v>
      </c>
      <c r="K237" s="44">
        <f t="shared" si="107"/>
        <v>35852405</v>
      </c>
      <c r="L237" s="44">
        <f t="shared" si="107"/>
        <v>0</v>
      </c>
      <c r="M237" s="44">
        <f t="shared" si="107"/>
        <v>86829586</v>
      </c>
      <c r="N237" s="44">
        <f t="shared" si="107"/>
        <v>70516586</v>
      </c>
      <c r="O237" s="44">
        <f t="shared" si="107"/>
        <v>69582026</v>
      </c>
      <c r="P237" s="44">
        <f t="shared" si="107"/>
        <v>16313000</v>
      </c>
      <c r="Q237" s="69"/>
      <c r="R237" s="69"/>
      <c r="S237" s="34"/>
      <c r="T237" s="34"/>
      <c r="U237" s="34"/>
    </row>
    <row r="238" spans="1:21" s="28" customFormat="1" ht="14.85" customHeight="1">
      <c r="A238" s="878"/>
      <c r="B238" s="881"/>
      <c r="C238" s="80" t="s">
        <v>14</v>
      </c>
      <c r="D238" s="54">
        <f>D241+D250+D253+D256+D259+D262+D268+D247+D244+D265</f>
        <v>57363855</v>
      </c>
      <c r="E238" s="44">
        <f t="shared" si="107"/>
        <v>12979585</v>
      </c>
      <c r="F238" s="44">
        <f t="shared" si="107"/>
        <v>0</v>
      </c>
      <c r="G238" s="44">
        <f t="shared" si="107"/>
        <v>0</v>
      </c>
      <c r="H238" s="44">
        <f t="shared" si="107"/>
        <v>0</v>
      </c>
      <c r="I238" s="44">
        <f t="shared" si="107"/>
        <v>0</v>
      </c>
      <c r="J238" s="44">
        <f t="shared" si="107"/>
        <v>0</v>
      </c>
      <c r="K238" s="44">
        <f t="shared" si="107"/>
        <v>12979585</v>
      </c>
      <c r="L238" s="44">
        <f t="shared" si="107"/>
        <v>0</v>
      </c>
      <c r="M238" s="44">
        <f t="shared" si="107"/>
        <v>44384270</v>
      </c>
      <c r="N238" s="44">
        <f t="shared" si="107"/>
        <v>43276270</v>
      </c>
      <c r="O238" s="44">
        <f t="shared" si="107"/>
        <v>43276270</v>
      </c>
      <c r="P238" s="44">
        <f t="shared" si="107"/>
        <v>1108000</v>
      </c>
      <c r="Q238" s="69"/>
      <c r="R238" s="69"/>
      <c r="S238" s="34"/>
      <c r="T238" s="34"/>
      <c r="U238" s="34"/>
    </row>
    <row r="239" spans="1:21" s="28" customFormat="1" ht="14.85" customHeight="1">
      <c r="A239" s="879"/>
      <c r="B239" s="882"/>
      <c r="C239" s="80" t="s">
        <v>15</v>
      </c>
      <c r="D239" s="54">
        <f>D237+D238</f>
        <v>201424131</v>
      </c>
      <c r="E239" s="44">
        <f t="shared" ref="E239:P239" si="108">E237+E238</f>
        <v>70210275</v>
      </c>
      <c r="F239" s="44">
        <f t="shared" si="108"/>
        <v>19118285</v>
      </c>
      <c r="G239" s="44">
        <f t="shared" si="108"/>
        <v>34236</v>
      </c>
      <c r="H239" s="44">
        <f t="shared" si="108"/>
        <v>19084049</v>
      </c>
      <c r="I239" s="44">
        <f t="shared" si="108"/>
        <v>2260000</v>
      </c>
      <c r="J239" s="44">
        <f t="shared" si="108"/>
        <v>0</v>
      </c>
      <c r="K239" s="44">
        <f t="shared" si="108"/>
        <v>48831990</v>
      </c>
      <c r="L239" s="44">
        <f t="shared" si="108"/>
        <v>0</v>
      </c>
      <c r="M239" s="44">
        <f t="shared" si="108"/>
        <v>131213856</v>
      </c>
      <c r="N239" s="44">
        <f t="shared" si="108"/>
        <v>113792856</v>
      </c>
      <c r="O239" s="44">
        <f t="shared" si="108"/>
        <v>112858296</v>
      </c>
      <c r="P239" s="44">
        <f t="shared" si="108"/>
        <v>17421000</v>
      </c>
      <c r="Q239" s="69"/>
      <c r="R239" s="69"/>
      <c r="S239" s="34"/>
      <c r="T239" s="34"/>
      <c r="U239" s="34"/>
    </row>
    <row r="240" spans="1:21" s="50" customFormat="1" ht="14.85" customHeight="1">
      <c r="A240" s="885">
        <v>85111</v>
      </c>
      <c r="B240" s="888" t="s">
        <v>156</v>
      </c>
      <c r="C240" s="81" t="s">
        <v>13</v>
      </c>
      <c r="D240" s="45">
        <f t="shared" ref="D240:D268" si="109">E240+M240</f>
        <v>14153860</v>
      </c>
      <c r="E240" s="46">
        <f t="shared" ref="E240:E268" si="110">F240+I240+J240+K240+L240</f>
        <v>1198802</v>
      </c>
      <c r="F240" s="46">
        <f t="shared" ref="F240:F268" si="111">G240+H240</f>
        <v>985339</v>
      </c>
      <c r="G240" s="46">
        <v>0</v>
      </c>
      <c r="H240" s="46">
        <v>985339</v>
      </c>
      <c r="I240" s="46">
        <v>0</v>
      </c>
      <c r="J240" s="46">
        <v>0</v>
      </c>
      <c r="K240" s="46">
        <v>213463</v>
      </c>
      <c r="L240" s="46">
        <v>0</v>
      </c>
      <c r="M240" s="46">
        <f t="shared" ref="M240:M268" si="112">N240+P240</f>
        <v>12955058</v>
      </c>
      <c r="N240" s="46">
        <v>12955058</v>
      </c>
      <c r="O240" s="46">
        <v>12192698</v>
      </c>
      <c r="P240" s="46">
        <v>0</v>
      </c>
      <c r="Q240" s="74"/>
      <c r="R240" s="74"/>
      <c r="S240" s="49"/>
      <c r="T240" s="49"/>
      <c r="U240" s="49"/>
    </row>
    <row r="241" spans="1:21" s="50" customFormat="1" ht="14.85" customHeight="1">
      <c r="A241" s="886"/>
      <c r="B241" s="889"/>
      <c r="C241" s="81" t="s">
        <v>14</v>
      </c>
      <c r="D241" s="45">
        <f t="shared" si="109"/>
        <v>13538815</v>
      </c>
      <c r="E241" s="46">
        <f t="shared" si="110"/>
        <v>0</v>
      </c>
      <c r="F241" s="46">
        <f t="shared" si="111"/>
        <v>0</v>
      </c>
      <c r="G241" s="46"/>
      <c r="H241" s="46"/>
      <c r="I241" s="46"/>
      <c r="J241" s="46"/>
      <c r="K241" s="46"/>
      <c r="L241" s="46"/>
      <c r="M241" s="46">
        <f t="shared" si="112"/>
        <v>13538815</v>
      </c>
      <c r="N241" s="46">
        <v>13538815</v>
      </c>
      <c r="O241" s="46">
        <v>13538815</v>
      </c>
      <c r="P241" s="46"/>
      <c r="Q241" s="74"/>
      <c r="R241" s="74"/>
      <c r="S241" s="49"/>
      <c r="T241" s="49"/>
      <c r="U241" s="49"/>
    </row>
    <row r="242" spans="1:21" s="50" customFormat="1" ht="14.85" customHeight="1">
      <c r="A242" s="887"/>
      <c r="B242" s="890"/>
      <c r="C242" s="79" t="s">
        <v>15</v>
      </c>
      <c r="D242" s="45">
        <f>D240+D241</f>
        <v>27692675</v>
      </c>
      <c r="E242" s="46">
        <f t="shared" ref="E242:P242" si="113">E240+E241</f>
        <v>1198802</v>
      </c>
      <c r="F242" s="46">
        <f t="shared" si="113"/>
        <v>985339</v>
      </c>
      <c r="G242" s="46">
        <f t="shared" si="113"/>
        <v>0</v>
      </c>
      <c r="H242" s="46">
        <f t="shared" si="113"/>
        <v>985339</v>
      </c>
      <c r="I242" s="46">
        <f t="shared" si="113"/>
        <v>0</v>
      </c>
      <c r="J242" s="46">
        <f t="shared" si="113"/>
        <v>0</v>
      </c>
      <c r="K242" s="46">
        <f t="shared" si="113"/>
        <v>213463</v>
      </c>
      <c r="L242" s="46">
        <f t="shared" si="113"/>
        <v>0</v>
      </c>
      <c r="M242" s="46">
        <f t="shared" si="113"/>
        <v>26493873</v>
      </c>
      <c r="N242" s="46">
        <f t="shared" si="113"/>
        <v>26493873</v>
      </c>
      <c r="O242" s="46">
        <f t="shared" si="113"/>
        <v>25731513</v>
      </c>
      <c r="P242" s="46">
        <f t="shared" si="113"/>
        <v>0</v>
      </c>
      <c r="Q242" s="74"/>
      <c r="R242" s="74"/>
      <c r="S242" s="49"/>
      <c r="T242" s="49"/>
      <c r="U242" s="49"/>
    </row>
    <row r="243" spans="1:21" s="50" customFormat="1" hidden="1">
      <c r="A243" s="885">
        <v>85117</v>
      </c>
      <c r="B243" s="888" t="s">
        <v>208</v>
      </c>
      <c r="C243" s="81" t="s">
        <v>13</v>
      </c>
      <c r="D243" s="45">
        <f>E243+M243</f>
        <v>464053</v>
      </c>
      <c r="E243" s="46">
        <f>F243+I243+J243+K243+L243</f>
        <v>0</v>
      </c>
      <c r="F243" s="46">
        <f>G243+H243</f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f t="shared" si="112"/>
        <v>464053</v>
      </c>
      <c r="N243" s="46">
        <v>464053</v>
      </c>
      <c r="O243" s="46">
        <v>464053</v>
      </c>
      <c r="P243" s="46"/>
      <c r="Q243" s="74"/>
      <c r="R243" s="74"/>
      <c r="S243" s="49"/>
      <c r="T243" s="49"/>
      <c r="U243" s="49"/>
    </row>
    <row r="244" spans="1:21" s="50" customFormat="1" hidden="1">
      <c r="A244" s="886"/>
      <c r="B244" s="889"/>
      <c r="C244" s="81" t="s">
        <v>14</v>
      </c>
      <c r="D244" s="45">
        <f>E244+M244</f>
        <v>0</v>
      </c>
      <c r="E244" s="46">
        <f>F244+I244+J244+K244+L244</f>
        <v>0</v>
      </c>
      <c r="F244" s="46">
        <f>G244+H244</f>
        <v>0</v>
      </c>
      <c r="G244" s="46"/>
      <c r="H244" s="46"/>
      <c r="I244" s="46"/>
      <c r="J244" s="46"/>
      <c r="K244" s="46"/>
      <c r="L244" s="46"/>
      <c r="M244" s="46">
        <f t="shared" si="112"/>
        <v>0</v>
      </c>
      <c r="N244" s="46"/>
      <c r="O244" s="46"/>
      <c r="P244" s="46"/>
      <c r="Q244" s="74"/>
      <c r="R244" s="74"/>
      <c r="S244" s="49"/>
      <c r="T244" s="49"/>
      <c r="U244" s="49"/>
    </row>
    <row r="245" spans="1:21" s="50" customFormat="1" hidden="1">
      <c r="A245" s="887"/>
      <c r="B245" s="890"/>
      <c r="C245" s="81" t="s">
        <v>15</v>
      </c>
      <c r="D245" s="45">
        <f>D243+D244</f>
        <v>464053</v>
      </c>
      <c r="E245" s="46">
        <f t="shared" ref="E245:P245" si="114">E243+E244</f>
        <v>0</v>
      </c>
      <c r="F245" s="46">
        <f t="shared" si="114"/>
        <v>0</v>
      </c>
      <c r="G245" s="46">
        <f t="shared" si="114"/>
        <v>0</v>
      </c>
      <c r="H245" s="46">
        <f t="shared" si="114"/>
        <v>0</v>
      </c>
      <c r="I245" s="46">
        <f t="shared" si="114"/>
        <v>0</v>
      </c>
      <c r="J245" s="46">
        <f t="shared" si="114"/>
        <v>0</v>
      </c>
      <c r="K245" s="46">
        <f t="shared" si="114"/>
        <v>0</v>
      </c>
      <c r="L245" s="46">
        <f t="shared" si="114"/>
        <v>0</v>
      </c>
      <c r="M245" s="46">
        <f t="shared" si="114"/>
        <v>464053</v>
      </c>
      <c r="N245" s="46">
        <f t="shared" si="114"/>
        <v>464053</v>
      </c>
      <c r="O245" s="46">
        <f t="shared" si="114"/>
        <v>464053</v>
      </c>
      <c r="P245" s="46">
        <f t="shared" si="114"/>
        <v>0</v>
      </c>
      <c r="Q245" s="74"/>
      <c r="R245" s="74"/>
      <c r="S245" s="49"/>
      <c r="T245" s="49"/>
      <c r="U245" s="49"/>
    </row>
    <row r="246" spans="1:21" s="50" customFormat="1" ht="14.85" customHeight="1">
      <c r="A246" s="885">
        <v>85119</v>
      </c>
      <c r="B246" s="888" t="s">
        <v>209</v>
      </c>
      <c r="C246" s="81" t="s">
        <v>13</v>
      </c>
      <c r="D246" s="45">
        <f t="shared" si="109"/>
        <v>1313000</v>
      </c>
      <c r="E246" s="46">
        <f t="shared" si="110"/>
        <v>0</v>
      </c>
      <c r="F246" s="46">
        <f t="shared" si="111"/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f>N246+P246</f>
        <v>1313000</v>
      </c>
      <c r="N246" s="46">
        <v>0</v>
      </c>
      <c r="O246" s="46">
        <v>0</v>
      </c>
      <c r="P246" s="46">
        <v>1313000</v>
      </c>
      <c r="Q246" s="74"/>
      <c r="R246" s="74"/>
      <c r="S246" s="49"/>
      <c r="T246" s="49"/>
      <c r="U246" s="49"/>
    </row>
    <row r="247" spans="1:21" s="50" customFormat="1" ht="14.85" customHeight="1">
      <c r="A247" s="886"/>
      <c r="B247" s="889"/>
      <c r="C247" s="81" t="s">
        <v>14</v>
      </c>
      <c r="D247" s="45">
        <f t="shared" si="109"/>
        <v>1108000</v>
      </c>
      <c r="E247" s="46">
        <f t="shared" si="110"/>
        <v>0</v>
      </c>
      <c r="F247" s="46">
        <f t="shared" si="111"/>
        <v>0</v>
      </c>
      <c r="G247" s="46"/>
      <c r="H247" s="46"/>
      <c r="I247" s="46"/>
      <c r="J247" s="46"/>
      <c r="K247" s="46"/>
      <c r="L247" s="46"/>
      <c r="M247" s="46">
        <f>N247+P247</f>
        <v>1108000</v>
      </c>
      <c r="N247" s="46"/>
      <c r="O247" s="46"/>
      <c r="P247" s="46">
        <v>1108000</v>
      </c>
      <c r="Q247" s="74"/>
      <c r="R247" s="74"/>
      <c r="S247" s="49"/>
      <c r="T247" s="49"/>
      <c r="U247" s="49"/>
    </row>
    <row r="248" spans="1:21" s="50" customFormat="1" ht="14.85" customHeight="1">
      <c r="A248" s="887"/>
      <c r="B248" s="890"/>
      <c r="C248" s="79" t="s">
        <v>15</v>
      </c>
      <c r="D248" s="45">
        <f>D246+D247</f>
        <v>2421000</v>
      </c>
      <c r="E248" s="46">
        <f t="shared" ref="E248:P248" si="115">E246+E247</f>
        <v>0</v>
      </c>
      <c r="F248" s="46">
        <f t="shared" si="115"/>
        <v>0</v>
      </c>
      <c r="G248" s="46">
        <f t="shared" si="115"/>
        <v>0</v>
      </c>
      <c r="H248" s="46">
        <f t="shared" si="115"/>
        <v>0</v>
      </c>
      <c r="I248" s="46">
        <f t="shared" si="115"/>
        <v>0</v>
      </c>
      <c r="J248" s="46">
        <f t="shared" si="115"/>
        <v>0</v>
      </c>
      <c r="K248" s="46">
        <f t="shared" si="115"/>
        <v>0</v>
      </c>
      <c r="L248" s="46">
        <f t="shared" si="115"/>
        <v>0</v>
      </c>
      <c r="M248" s="46">
        <f t="shared" si="115"/>
        <v>2421000</v>
      </c>
      <c r="N248" s="46">
        <f t="shared" si="115"/>
        <v>0</v>
      </c>
      <c r="O248" s="46">
        <f t="shared" si="115"/>
        <v>0</v>
      </c>
      <c r="P248" s="46">
        <f t="shared" si="115"/>
        <v>2421000</v>
      </c>
      <c r="Q248" s="74"/>
      <c r="R248" s="74"/>
      <c r="S248" s="49"/>
      <c r="T248" s="49"/>
      <c r="U248" s="49"/>
    </row>
    <row r="249" spans="1:21" s="50" customFormat="1" ht="13.5" hidden="1" customHeight="1">
      <c r="A249" s="885">
        <v>85148</v>
      </c>
      <c r="B249" s="888" t="s">
        <v>157</v>
      </c>
      <c r="C249" s="81" t="s">
        <v>13</v>
      </c>
      <c r="D249" s="45">
        <f t="shared" si="109"/>
        <v>4631340</v>
      </c>
      <c r="E249" s="46">
        <f t="shared" si="110"/>
        <v>4560000</v>
      </c>
      <c r="F249" s="46">
        <f t="shared" si="111"/>
        <v>4200000</v>
      </c>
      <c r="G249" s="46">
        <v>0</v>
      </c>
      <c r="H249" s="46">
        <v>4200000</v>
      </c>
      <c r="I249" s="46">
        <v>360000</v>
      </c>
      <c r="J249" s="46">
        <v>0</v>
      </c>
      <c r="K249" s="46">
        <v>0</v>
      </c>
      <c r="L249" s="46">
        <v>0</v>
      </c>
      <c r="M249" s="46">
        <f t="shared" si="112"/>
        <v>71340</v>
      </c>
      <c r="N249" s="46">
        <v>71340</v>
      </c>
      <c r="O249" s="46">
        <v>0</v>
      </c>
      <c r="P249" s="46">
        <v>0</v>
      </c>
      <c r="Q249" s="74"/>
      <c r="R249" s="74"/>
      <c r="S249" s="49"/>
      <c r="T249" s="49"/>
      <c r="U249" s="49"/>
    </row>
    <row r="250" spans="1:21" s="50" customFormat="1" ht="13.5" hidden="1" customHeight="1">
      <c r="A250" s="886"/>
      <c r="B250" s="889"/>
      <c r="C250" s="81" t="s">
        <v>14</v>
      </c>
      <c r="D250" s="45">
        <f t="shared" si="109"/>
        <v>0</v>
      </c>
      <c r="E250" s="46">
        <f t="shared" si="110"/>
        <v>0</v>
      </c>
      <c r="F250" s="46">
        <f t="shared" si="111"/>
        <v>0</v>
      </c>
      <c r="G250" s="46"/>
      <c r="H250" s="46"/>
      <c r="I250" s="46"/>
      <c r="J250" s="46"/>
      <c r="K250" s="46"/>
      <c r="L250" s="46"/>
      <c r="M250" s="46">
        <f t="shared" si="112"/>
        <v>0</v>
      </c>
      <c r="N250" s="46"/>
      <c r="O250" s="46"/>
      <c r="P250" s="46"/>
      <c r="Q250" s="74"/>
      <c r="R250" s="74"/>
      <c r="S250" s="49"/>
      <c r="T250" s="49"/>
      <c r="U250" s="49"/>
    </row>
    <row r="251" spans="1:21" s="50" customFormat="1" ht="13.5" hidden="1" customHeight="1">
      <c r="A251" s="887"/>
      <c r="B251" s="890"/>
      <c r="C251" s="81" t="s">
        <v>15</v>
      </c>
      <c r="D251" s="45">
        <f>D249+D250</f>
        <v>4631340</v>
      </c>
      <c r="E251" s="46">
        <f t="shared" ref="E251:P251" si="116">E249+E250</f>
        <v>4560000</v>
      </c>
      <c r="F251" s="46">
        <f t="shared" si="116"/>
        <v>4200000</v>
      </c>
      <c r="G251" s="46">
        <f t="shared" si="116"/>
        <v>0</v>
      </c>
      <c r="H251" s="46">
        <f t="shared" si="116"/>
        <v>4200000</v>
      </c>
      <c r="I251" s="46">
        <f t="shared" si="116"/>
        <v>360000</v>
      </c>
      <c r="J251" s="46">
        <f t="shared" si="116"/>
        <v>0</v>
      </c>
      <c r="K251" s="46">
        <f t="shared" si="116"/>
        <v>0</v>
      </c>
      <c r="L251" s="46">
        <f t="shared" si="116"/>
        <v>0</v>
      </c>
      <c r="M251" s="46">
        <f t="shared" si="116"/>
        <v>71340</v>
      </c>
      <c r="N251" s="46">
        <f t="shared" si="116"/>
        <v>71340</v>
      </c>
      <c r="O251" s="46">
        <f t="shared" si="116"/>
        <v>0</v>
      </c>
      <c r="P251" s="46">
        <f t="shared" si="116"/>
        <v>0</v>
      </c>
      <c r="Q251" s="74"/>
      <c r="R251" s="74"/>
      <c r="S251" s="49"/>
      <c r="T251" s="49"/>
      <c r="U251" s="49"/>
    </row>
    <row r="252" spans="1:21" s="50" customFormat="1" ht="13.5" hidden="1" customHeight="1">
      <c r="A252" s="885">
        <v>85149</v>
      </c>
      <c r="B252" s="888" t="s">
        <v>158</v>
      </c>
      <c r="C252" s="81" t="s">
        <v>13</v>
      </c>
      <c r="D252" s="45">
        <f t="shared" si="109"/>
        <v>1860000</v>
      </c>
      <c r="E252" s="46">
        <f t="shared" si="110"/>
        <v>1860000</v>
      </c>
      <c r="F252" s="46">
        <f t="shared" si="111"/>
        <v>100000</v>
      </c>
      <c r="G252" s="46">
        <v>1000</v>
      </c>
      <c r="H252" s="46">
        <f>2000+2000+95000</f>
        <v>99000</v>
      </c>
      <c r="I252" s="46">
        <v>1000000</v>
      </c>
      <c r="J252" s="46">
        <v>0</v>
      </c>
      <c r="K252" s="46">
        <v>760000</v>
      </c>
      <c r="L252" s="46">
        <v>0</v>
      </c>
      <c r="M252" s="46">
        <f t="shared" si="112"/>
        <v>0</v>
      </c>
      <c r="N252" s="46">
        <v>0</v>
      </c>
      <c r="O252" s="46">
        <v>0</v>
      </c>
      <c r="P252" s="46">
        <v>0</v>
      </c>
      <c r="Q252" s="74"/>
      <c r="R252" s="74"/>
      <c r="S252" s="49"/>
      <c r="T252" s="49"/>
      <c r="U252" s="49"/>
    </row>
    <row r="253" spans="1:21" s="50" customFormat="1" ht="13.5" hidden="1" customHeight="1">
      <c r="A253" s="886"/>
      <c r="B253" s="889"/>
      <c r="C253" s="81" t="s">
        <v>14</v>
      </c>
      <c r="D253" s="45">
        <f t="shared" si="109"/>
        <v>0</v>
      </c>
      <c r="E253" s="46">
        <f t="shared" si="110"/>
        <v>0</v>
      </c>
      <c r="F253" s="46">
        <f t="shared" si="111"/>
        <v>0</v>
      </c>
      <c r="G253" s="46"/>
      <c r="H253" s="46"/>
      <c r="I253" s="46"/>
      <c r="J253" s="46"/>
      <c r="K253" s="46"/>
      <c r="L253" s="46"/>
      <c r="M253" s="46">
        <f t="shared" si="112"/>
        <v>0</v>
      </c>
      <c r="N253" s="46"/>
      <c r="O253" s="46"/>
      <c r="P253" s="46"/>
      <c r="Q253" s="74"/>
      <c r="R253" s="74"/>
      <c r="S253" s="49"/>
      <c r="T253" s="49"/>
      <c r="U253" s="49"/>
    </row>
    <row r="254" spans="1:21" s="50" customFormat="1" ht="13.5" hidden="1" customHeight="1">
      <c r="A254" s="887"/>
      <c r="B254" s="890"/>
      <c r="C254" s="81" t="s">
        <v>15</v>
      </c>
      <c r="D254" s="45">
        <f>D252+D253</f>
        <v>1860000</v>
      </c>
      <c r="E254" s="46">
        <f t="shared" ref="E254:P254" si="117">E252+E253</f>
        <v>1860000</v>
      </c>
      <c r="F254" s="46">
        <f t="shared" si="117"/>
        <v>100000</v>
      </c>
      <c r="G254" s="46">
        <f t="shared" si="117"/>
        <v>1000</v>
      </c>
      <c r="H254" s="46">
        <f t="shared" si="117"/>
        <v>99000</v>
      </c>
      <c r="I254" s="46">
        <f t="shared" si="117"/>
        <v>1000000</v>
      </c>
      <c r="J254" s="46">
        <f t="shared" si="117"/>
        <v>0</v>
      </c>
      <c r="K254" s="46">
        <f t="shared" si="117"/>
        <v>760000</v>
      </c>
      <c r="L254" s="46">
        <f t="shared" si="117"/>
        <v>0</v>
      </c>
      <c r="M254" s="46">
        <f t="shared" si="117"/>
        <v>0</v>
      </c>
      <c r="N254" s="46">
        <f t="shared" si="117"/>
        <v>0</v>
      </c>
      <c r="O254" s="46">
        <f t="shared" si="117"/>
        <v>0</v>
      </c>
      <c r="P254" s="46">
        <f t="shared" si="117"/>
        <v>0</v>
      </c>
      <c r="Q254" s="74"/>
      <c r="R254" s="74"/>
      <c r="S254" s="49"/>
      <c r="T254" s="49"/>
      <c r="U254" s="49"/>
    </row>
    <row r="255" spans="1:21" s="50" customFormat="1" ht="13.5" hidden="1" customHeight="1">
      <c r="A255" s="885">
        <v>85153</v>
      </c>
      <c r="B255" s="888" t="s">
        <v>159</v>
      </c>
      <c r="C255" s="81" t="s">
        <v>13</v>
      </c>
      <c r="D255" s="45">
        <f t="shared" si="109"/>
        <v>480000</v>
      </c>
      <c r="E255" s="46">
        <f t="shared" si="110"/>
        <v>480000</v>
      </c>
      <c r="F255" s="46">
        <f t="shared" si="111"/>
        <v>130000</v>
      </c>
      <c r="G255" s="46">
        <v>14000</v>
      </c>
      <c r="H255" s="46">
        <f>11000+7000+98000</f>
        <v>116000</v>
      </c>
      <c r="I255" s="46">
        <v>350000</v>
      </c>
      <c r="J255" s="46">
        <v>0</v>
      </c>
      <c r="K255" s="46">
        <v>0</v>
      </c>
      <c r="L255" s="46">
        <v>0</v>
      </c>
      <c r="M255" s="46">
        <f t="shared" si="112"/>
        <v>0</v>
      </c>
      <c r="N255" s="46">
        <v>0</v>
      </c>
      <c r="O255" s="46">
        <v>0</v>
      </c>
      <c r="P255" s="46">
        <v>0</v>
      </c>
      <c r="Q255" s="74"/>
      <c r="R255" s="74"/>
      <c r="S255" s="49"/>
      <c r="T255" s="49"/>
      <c r="U255" s="49"/>
    </row>
    <row r="256" spans="1:21" s="50" customFormat="1" ht="13.5" hidden="1" customHeight="1">
      <c r="A256" s="886"/>
      <c r="B256" s="889"/>
      <c r="C256" s="81" t="s">
        <v>14</v>
      </c>
      <c r="D256" s="45">
        <f t="shared" si="109"/>
        <v>0</v>
      </c>
      <c r="E256" s="46">
        <f t="shared" si="110"/>
        <v>0</v>
      </c>
      <c r="F256" s="46">
        <f t="shared" si="111"/>
        <v>0</v>
      </c>
      <c r="G256" s="46"/>
      <c r="H256" s="46"/>
      <c r="I256" s="46"/>
      <c r="J256" s="46"/>
      <c r="K256" s="46"/>
      <c r="L256" s="46"/>
      <c r="M256" s="46">
        <f t="shared" si="112"/>
        <v>0</v>
      </c>
      <c r="N256" s="46"/>
      <c r="O256" s="46"/>
      <c r="P256" s="46"/>
      <c r="Q256" s="74"/>
      <c r="R256" s="74"/>
      <c r="S256" s="49"/>
      <c r="T256" s="49"/>
      <c r="U256" s="49"/>
    </row>
    <row r="257" spans="1:21" s="50" customFormat="1" ht="13.5" hidden="1" customHeight="1">
      <c r="A257" s="887"/>
      <c r="B257" s="890"/>
      <c r="C257" s="81" t="s">
        <v>15</v>
      </c>
      <c r="D257" s="45">
        <f>D255+D256</f>
        <v>480000</v>
      </c>
      <c r="E257" s="46">
        <f t="shared" ref="E257:P257" si="118">E255+E256</f>
        <v>480000</v>
      </c>
      <c r="F257" s="46">
        <f t="shared" si="118"/>
        <v>130000</v>
      </c>
      <c r="G257" s="46">
        <f t="shared" si="118"/>
        <v>14000</v>
      </c>
      <c r="H257" s="46">
        <f t="shared" si="118"/>
        <v>116000</v>
      </c>
      <c r="I257" s="46">
        <f t="shared" si="118"/>
        <v>350000</v>
      </c>
      <c r="J257" s="46">
        <f t="shared" si="118"/>
        <v>0</v>
      </c>
      <c r="K257" s="46">
        <f t="shared" si="118"/>
        <v>0</v>
      </c>
      <c r="L257" s="46">
        <f t="shared" si="118"/>
        <v>0</v>
      </c>
      <c r="M257" s="46">
        <f t="shared" si="118"/>
        <v>0</v>
      </c>
      <c r="N257" s="46">
        <f t="shared" si="118"/>
        <v>0</v>
      </c>
      <c r="O257" s="46">
        <f t="shared" si="118"/>
        <v>0</v>
      </c>
      <c r="P257" s="46">
        <f t="shared" si="118"/>
        <v>0</v>
      </c>
      <c r="Q257" s="74"/>
      <c r="R257" s="74"/>
      <c r="S257" s="49"/>
      <c r="T257" s="49"/>
      <c r="U257" s="49"/>
    </row>
    <row r="258" spans="1:21" s="50" customFormat="1" ht="13.5" hidden="1" customHeight="1">
      <c r="A258" s="885">
        <v>85154</v>
      </c>
      <c r="B258" s="888" t="s">
        <v>160</v>
      </c>
      <c r="C258" s="81" t="s">
        <v>13</v>
      </c>
      <c r="D258" s="45">
        <f t="shared" si="109"/>
        <v>680860</v>
      </c>
      <c r="E258" s="46">
        <f t="shared" si="110"/>
        <v>580000</v>
      </c>
      <c r="F258" s="46">
        <f t="shared" si="111"/>
        <v>30000</v>
      </c>
      <c r="G258" s="46">
        <v>3000</v>
      </c>
      <c r="H258" s="46">
        <f>4000+23000</f>
        <v>27000</v>
      </c>
      <c r="I258" s="46">
        <v>550000</v>
      </c>
      <c r="J258" s="46">
        <v>0</v>
      </c>
      <c r="K258" s="46">
        <v>0</v>
      </c>
      <c r="L258" s="46">
        <v>0</v>
      </c>
      <c r="M258" s="46">
        <f t="shared" si="112"/>
        <v>100860</v>
      </c>
      <c r="N258" s="46">
        <v>100860</v>
      </c>
      <c r="O258" s="46">
        <v>0</v>
      </c>
      <c r="P258" s="46">
        <v>0</v>
      </c>
      <c r="Q258" s="74"/>
      <c r="R258" s="74"/>
      <c r="S258" s="49"/>
      <c r="T258" s="49"/>
      <c r="U258" s="49"/>
    </row>
    <row r="259" spans="1:21" s="50" customFormat="1" ht="13.5" hidden="1" customHeight="1">
      <c r="A259" s="886"/>
      <c r="B259" s="889"/>
      <c r="C259" s="81" t="s">
        <v>14</v>
      </c>
      <c r="D259" s="45">
        <f t="shared" si="109"/>
        <v>0</v>
      </c>
      <c r="E259" s="46">
        <f t="shared" si="110"/>
        <v>0</v>
      </c>
      <c r="F259" s="46">
        <f t="shared" si="111"/>
        <v>0</v>
      </c>
      <c r="G259" s="46"/>
      <c r="H259" s="46"/>
      <c r="I259" s="46"/>
      <c r="J259" s="46"/>
      <c r="K259" s="46"/>
      <c r="L259" s="46"/>
      <c r="M259" s="46">
        <f t="shared" si="112"/>
        <v>0</v>
      </c>
      <c r="N259" s="46"/>
      <c r="O259" s="46"/>
      <c r="P259" s="46"/>
      <c r="Q259" s="74"/>
      <c r="R259" s="74"/>
      <c r="S259" s="49"/>
      <c r="T259" s="49"/>
      <c r="U259" s="49"/>
    </row>
    <row r="260" spans="1:21" s="50" customFormat="1" ht="13.5" hidden="1" customHeight="1">
      <c r="A260" s="887"/>
      <c r="B260" s="890"/>
      <c r="C260" s="81" t="s">
        <v>15</v>
      </c>
      <c r="D260" s="45">
        <f>D258+D259</f>
        <v>680860</v>
      </c>
      <c r="E260" s="46">
        <f t="shared" ref="E260:P260" si="119">E258+E259</f>
        <v>580000</v>
      </c>
      <c r="F260" s="46">
        <f t="shared" si="119"/>
        <v>30000</v>
      </c>
      <c r="G260" s="46">
        <f t="shared" si="119"/>
        <v>3000</v>
      </c>
      <c r="H260" s="46">
        <f t="shared" si="119"/>
        <v>27000</v>
      </c>
      <c r="I260" s="46">
        <f t="shared" si="119"/>
        <v>550000</v>
      </c>
      <c r="J260" s="46">
        <f t="shared" si="119"/>
        <v>0</v>
      </c>
      <c r="K260" s="46">
        <f t="shared" si="119"/>
        <v>0</v>
      </c>
      <c r="L260" s="46">
        <f t="shared" si="119"/>
        <v>0</v>
      </c>
      <c r="M260" s="46">
        <f t="shared" si="119"/>
        <v>100860</v>
      </c>
      <c r="N260" s="46">
        <f t="shared" si="119"/>
        <v>100860</v>
      </c>
      <c r="O260" s="46">
        <f t="shared" si="119"/>
        <v>0</v>
      </c>
      <c r="P260" s="46">
        <f t="shared" si="119"/>
        <v>0</v>
      </c>
      <c r="Q260" s="74"/>
      <c r="R260" s="74"/>
      <c r="S260" s="49"/>
      <c r="T260" s="49"/>
      <c r="U260" s="49"/>
    </row>
    <row r="261" spans="1:21" s="26" customFormat="1" hidden="1">
      <c r="A261" s="885">
        <v>85156</v>
      </c>
      <c r="B261" s="888" t="s">
        <v>60</v>
      </c>
      <c r="C261" s="81" t="s">
        <v>13</v>
      </c>
      <c r="D261" s="45">
        <f t="shared" si="109"/>
        <v>16000</v>
      </c>
      <c r="E261" s="46">
        <f t="shared" si="110"/>
        <v>16000</v>
      </c>
      <c r="F261" s="46">
        <f t="shared" si="111"/>
        <v>16000</v>
      </c>
      <c r="G261" s="46">
        <v>0</v>
      </c>
      <c r="H261" s="46">
        <v>16000</v>
      </c>
      <c r="I261" s="46">
        <v>0</v>
      </c>
      <c r="J261" s="46">
        <v>0</v>
      </c>
      <c r="K261" s="46">
        <v>0</v>
      </c>
      <c r="L261" s="46">
        <v>0</v>
      </c>
      <c r="M261" s="46">
        <f t="shared" si="112"/>
        <v>0</v>
      </c>
      <c r="N261" s="46">
        <v>0</v>
      </c>
      <c r="O261" s="46">
        <v>0</v>
      </c>
      <c r="P261" s="46">
        <v>0</v>
      </c>
      <c r="Q261" s="56"/>
      <c r="R261" s="56"/>
      <c r="S261" s="32"/>
      <c r="T261" s="32"/>
      <c r="U261" s="32"/>
    </row>
    <row r="262" spans="1:21" s="26" customFormat="1" hidden="1">
      <c r="A262" s="886"/>
      <c r="B262" s="889"/>
      <c r="C262" s="81" t="s">
        <v>14</v>
      </c>
      <c r="D262" s="45">
        <f t="shared" si="109"/>
        <v>0</v>
      </c>
      <c r="E262" s="46">
        <f t="shared" si="110"/>
        <v>0</v>
      </c>
      <c r="F262" s="46">
        <f t="shared" si="111"/>
        <v>0</v>
      </c>
      <c r="G262" s="46"/>
      <c r="H262" s="46"/>
      <c r="I262" s="46"/>
      <c r="J262" s="46"/>
      <c r="K262" s="46"/>
      <c r="L262" s="46"/>
      <c r="M262" s="46">
        <f t="shared" si="112"/>
        <v>0</v>
      </c>
      <c r="N262" s="46"/>
      <c r="O262" s="46"/>
      <c r="P262" s="46"/>
      <c r="Q262" s="56"/>
      <c r="R262" s="56"/>
      <c r="S262" s="32"/>
      <c r="T262" s="32"/>
      <c r="U262" s="32"/>
    </row>
    <row r="263" spans="1:21" s="26" customFormat="1" hidden="1">
      <c r="A263" s="887"/>
      <c r="B263" s="890"/>
      <c r="C263" s="81" t="s">
        <v>15</v>
      </c>
      <c r="D263" s="45">
        <f>D261+D262</f>
        <v>16000</v>
      </c>
      <c r="E263" s="46">
        <f t="shared" ref="E263:P263" si="120">E261+E262</f>
        <v>16000</v>
      </c>
      <c r="F263" s="46">
        <f t="shared" si="120"/>
        <v>16000</v>
      </c>
      <c r="G263" s="46">
        <f t="shared" si="120"/>
        <v>0</v>
      </c>
      <c r="H263" s="46">
        <f t="shared" si="120"/>
        <v>16000</v>
      </c>
      <c r="I263" s="46">
        <f t="shared" si="120"/>
        <v>0</v>
      </c>
      <c r="J263" s="46">
        <f t="shared" si="120"/>
        <v>0</v>
      </c>
      <c r="K263" s="46">
        <f t="shared" si="120"/>
        <v>0</v>
      </c>
      <c r="L263" s="46">
        <f t="shared" si="120"/>
        <v>0</v>
      </c>
      <c r="M263" s="46">
        <f t="shared" si="120"/>
        <v>0</v>
      </c>
      <c r="N263" s="46">
        <f t="shared" si="120"/>
        <v>0</v>
      </c>
      <c r="O263" s="46">
        <f t="shared" si="120"/>
        <v>0</v>
      </c>
      <c r="P263" s="46">
        <f t="shared" si="120"/>
        <v>0</v>
      </c>
      <c r="Q263" s="56"/>
      <c r="R263" s="56"/>
      <c r="S263" s="32"/>
      <c r="T263" s="32"/>
      <c r="U263" s="32"/>
    </row>
    <row r="264" spans="1:21" s="26" customFormat="1" hidden="1">
      <c r="A264" s="885">
        <v>85157</v>
      </c>
      <c r="B264" s="888" t="s">
        <v>222</v>
      </c>
      <c r="C264" s="81" t="s">
        <v>13</v>
      </c>
      <c r="D264" s="45">
        <f>E264+M264</f>
        <v>13636946</v>
      </c>
      <c r="E264" s="46">
        <f>F264+I264+J264+K264+L264</f>
        <v>13636946</v>
      </c>
      <c r="F264" s="46">
        <f>G264+H264</f>
        <v>13636946</v>
      </c>
      <c r="G264" s="46">
        <v>16236</v>
      </c>
      <c r="H264" s="46">
        <v>13620710</v>
      </c>
      <c r="I264" s="46">
        <v>0</v>
      </c>
      <c r="J264" s="46">
        <v>0</v>
      </c>
      <c r="K264" s="46">
        <v>0</v>
      </c>
      <c r="L264" s="46">
        <v>0</v>
      </c>
      <c r="M264" s="46">
        <f>N264+P264</f>
        <v>0</v>
      </c>
      <c r="N264" s="46">
        <v>0</v>
      </c>
      <c r="O264" s="46">
        <v>0</v>
      </c>
      <c r="P264" s="46">
        <v>0</v>
      </c>
      <c r="Q264" s="56"/>
      <c r="R264" s="56"/>
      <c r="S264" s="32"/>
      <c r="T264" s="32"/>
      <c r="U264" s="32"/>
    </row>
    <row r="265" spans="1:21" s="26" customFormat="1" hidden="1">
      <c r="A265" s="886"/>
      <c r="B265" s="889"/>
      <c r="C265" s="81" t="s">
        <v>14</v>
      </c>
      <c r="D265" s="45">
        <f>E265+M265</f>
        <v>0</v>
      </c>
      <c r="E265" s="46">
        <f>F265+I265+J265+K265+L265</f>
        <v>0</v>
      </c>
      <c r="F265" s="46">
        <f>G265+H265</f>
        <v>0</v>
      </c>
      <c r="G265" s="46"/>
      <c r="H265" s="46"/>
      <c r="I265" s="46"/>
      <c r="J265" s="46"/>
      <c r="K265" s="46"/>
      <c r="L265" s="46"/>
      <c r="M265" s="46">
        <f>N265+P265</f>
        <v>0</v>
      </c>
      <c r="N265" s="46"/>
      <c r="O265" s="46"/>
      <c r="P265" s="46"/>
      <c r="Q265" s="56"/>
      <c r="R265" s="56"/>
      <c r="S265" s="32"/>
      <c r="T265" s="32"/>
      <c r="U265" s="32"/>
    </row>
    <row r="266" spans="1:21" s="26" customFormat="1" hidden="1">
      <c r="A266" s="887"/>
      <c r="B266" s="890"/>
      <c r="C266" s="81" t="s">
        <v>15</v>
      </c>
      <c r="D266" s="45">
        <f>D264+D265</f>
        <v>13636946</v>
      </c>
      <c r="E266" s="46">
        <f t="shared" ref="E266:P266" si="121">E264+E265</f>
        <v>13636946</v>
      </c>
      <c r="F266" s="46">
        <f t="shared" si="121"/>
        <v>13636946</v>
      </c>
      <c r="G266" s="46">
        <f t="shared" si="121"/>
        <v>16236</v>
      </c>
      <c r="H266" s="46">
        <f t="shared" si="121"/>
        <v>13620710</v>
      </c>
      <c r="I266" s="46">
        <f t="shared" si="121"/>
        <v>0</v>
      </c>
      <c r="J266" s="46">
        <f t="shared" si="121"/>
        <v>0</v>
      </c>
      <c r="K266" s="46">
        <f t="shared" si="121"/>
        <v>0</v>
      </c>
      <c r="L266" s="46">
        <f t="shared" si="121"/>
        <v>0</v>
      </c>
      <c r="M266" s="46">
        <f t="shared" si="121"/>
        <v>0</v>
      </c>
      <c r="N266" s="46">
        <f t="shared" si="121"/>
        <v>0</v>
      </c>
      <c r="O266" s="46">
        <f t="shared" si="121"/>
        <v>0</v>
      </c>
      <c r="P266" s="46">
        <f t="shared" si="121"/>
        <v>0</v>
      </c>
      <c r="Q266" s="56"/>
      <c r="R266" s="56"/>
      <c r="S266" s="32"/>
      <c r="T266" s="32"/>
      <c r="U266" s="32"/>
    </row>
    <row r="267" spans="1:21" s="50" customFormat="1" ht="14.85" customHeight="1">
      <c r="A267" s="885">
        <v>85195</v>
      </c>
      <c r="B267" s="888" t="s">
        <v>51</v>
      </c>
      <c r="C267" s="81" t="s">
        <v>13</v>
      </c>
      <c r="D267" s="45">
        <f t="shared" si="109"/>
        <v>106824217</v>
      </c>
      <c r="E267" s="46">
        <f t="shared" si="110"/>
        <v>34898942</v>
      </c>
      <c r="F267" s="46">
        <f t="shared" si="111"/>
        <v>20000</v>
      </c>
      <c r="G267" s="46">
        <v>0</v>
      </c>
      <c r="H267" s="46">
        <f>20000</f>
        <v>20000</v>
      </c>
      <c r="I267" s="46">
        <v>0</v>
      </c>
      <c r="J267" s="46">
        <v>0</v>
      </c>
      <c r="K267" s="46">
        <v>34878942</v>
      </c>
      <c r="L267" s="46">
        <v>0</v>
      </c>
      <c r="M267" s="46">
        <f t="shared" si="112"/>
        <v>71925275</v>
      </c>
      <c r="N267" s="46">
        <v>56925275</v>
      </c>
      <c r="O267" s="46">
        <v>56925275</v>
      </c>
      <c r="P267" s="46">
        <v>15000000</v>
      </c>
      <c r="Q267" s="74"/>
      <c r="R267" s="74"/>
      <c r="S267" s="49"/>
      <c r="T267" s="49"/>
      <c r="U267" s="49"/>
    </row>
    <row r="268" spans="1:21" s="50" customFormat="1" ht="14.85" customHeight="1">
      <c r="A268" s="886"/>
      <c r="B268" s="889"/>
      <c r="C268" s="81" t="s">
        <v>14</v>
      </c>
      <c r="D268" s="45">
        <f t="shared" si="109"/>
        <v>42717040</v>
      </c>
      <c r="E268" s="46">
        <f t="shared" si="110"/>
        <v>12979585</v>
      </c>
      <c r="F268" s="46">
        <f t="shared" si="111"/>
        <v>0</v>
      </c>
      <c r="G268" s="46"/>
      <c r="H268" s="46"/>
      <c r="I268" s="46"/>
      <c r="J268" s="46"/>
      <c r="K268" s="46">
        <f>45920098-28363002-3160493-253199-29802-1014649-119368</f>
        <v>12979585</v>
      </c>
      <c r="L268" s="46"/>
      <c r="M268" s="46">
        <f t="shared" si="112"/>
        <v>29737455</v>
      </c>
      <c r="N268" s="46">
        <f>-1604541-181499+28363002+3160493</f>
        <v>29737455</v>
      </c>
      <c r="O268" s="46">
        <f>29737455</f>
        <v>29737455</v>
      </c>
      <c r="P268" s="46"/>
      <c r="Q268" s="74"/>
      <c r="R268" s="74"/>
      <c r="S268" s="49"/>
      <c r="T268" s="49"/>
      <c r="U268" s="49"/>
    </row>
    <row r="269" spans="1:21" s="50" customFormat="1" ht="14.85" customHeight="1">
      <c r="A269" s="887"/>
      <c r="B269" s="890"/>
      <c r="C269" s="81" t="s">
        <v>15</v>
      </c>
      <c r="D269" s="45">
        <f>D267+D268</f>
        <v>149541257</v>
      </c>
      <c r="E269" s="46">
        <f t="shared" ref="E269:P269" si="122">E267+E268</f>
        <v>47878527</v>
      </c>
      <c r="F269" s="46">
        <f t="shared" si="122"/>
        <v>20000</v>
      </c>
      <c r="G269" s="46">
        <f t="shared" si="122"/>
        <v>0</v>
      </c>
      <c r="H269" s="46">
        <f t="shared" si="122"/>
        <v>20000</v>
      </c>
      <c r="I269" s="46">
        <f t="shared" si="122"/>
        <v>0</v>
      </c>
      <c r="J269" s="46">
        <f t="shared" si="122"/>
        <v>0</v>
      </c>
      <c r="K269" s="46">
        <f t="shared" si="122"/>
        <v>47858527</v>
      </c>
      <c r="L269" s="46">
        <f t="shared" si="122"/>
        <v>0</v>
      </c>
      <c r="M269" s="46">
        <f t="shared" si="122"/>
        <v>101662730</v>
      </c>
      <c r="N269" s="46">
        <f t="shared" si="122"/>
        <v>86662730</v>
      </c>
      <c r="O269" s="46">
        <f t="shared" si="122"/>
        <v>86662730</v>
      </c>
      <c r="P269" s="46">
        <f t="shared" si="122"/>
        <v>15000000</v>
      </c>
      <c r="Q269" s="74"/>
      <c r="R269" s="74"/>
      <c r="S269" s="49"/>
      <c r="T269" s="49"/>
      <c r="U269" s="49"/>
    </row>
    <row r="270" spans="1:21" s="28" customFormat="1" ht="14.85" customHeight="1">
      <c r="A270" s="877">
        <v>852</v>
      </c>
      <c r="B270" s="880" t="s">
        <v>36</v>
      </c>
      <c r="C270" s="80" t="s">
        <v>13</v>
      </c>
      <c r="D270" s="43">
        <f t="shared" ref="D270:P271" si="123">D273+D276+D279+D285+D282</f>
        <v>35306347</v>
      </c>
      <c r="E270" s="44">
        <f t="shared" si="123"/>
        <v>33974212</v>
      </c>
      <c r="F270" s="44">
        <f t="shared" si="123"/>
        <v>3271767</v>
      </c>
      <c r="G270" s="44">
        <f t="shared" si="123"/>
        <v>2491416</v>
      </c>
      <c r="H270" s="44">
        <f t="shared" si="123"/>
        <v>780351</v>
      </c>
      <c r="I270" s="44">
        <f t="shared" si="123"/>
        <v>30000</v>
      </c>
      <c r="J270" s="44">
        <f t="shared" si="123"/>
        <v>48900</v>
      </c>
      <c r="K270" s="44">
        <f t="shared" si="123"/>
        <v>30623545</v>
      </c>
      <c r="L270" s="44">
        <f t="shared" si="123"/>
        <v>0</v>
      </c>
      <c r="M270" s="44">
        <f t="shared" si="123"/>
        <v>1332135</v>
      </c>
      <c r="N270" s="44">
        <f t="shared" si="123"/>
        <v>1332135</v>
      </c>
      <c r="O270" s="44">
        <f t="shared" si="123"/>
        <v>1262999</v>
      </c>
      <c r="P270" s="44">
        <f t="shared" si="123"/>
        <v>0</v>
      </c>
      <c r="Q270" s="69"/>
      <c r="R270" s="69"/>
      <c r="S270" s="34"/>
      <c r="T270" s="34"/>
      <c r="U270" s="34"/>
    </row>
    <row r="271" spans="1:21" s="28" customFormat="1" ht="14.85" customHeight="1">
      <c r="A271" s="878"/>
      <c r="B271" s="881"/>
      <c r="C271" s="80" t="s">
        <v>14</v>
      </c>
      <c r="D271" s="43">
        <f t="shared" si="123"/>
        <v>6647247</v>
      </c>
      <c r="E271" s="44">
        <f t="shared" si="123"/>
        <v>6543886</v>
      </c>
      <c r="F271" s="44">
        <f t="shared" si="123"/>
        <v>0</v>
      </c>
      <c r="G271" s="44">
        <f t="shared" si="123"/>
        <v>0</v>
      </c>
      <c r="H271" s="44">
        <f t="shared" si="123"/>
        <v>0</v>
      </c>
      <c r="I271" s="44">
        <f t="shared" si="123"/>
        <v>0</v>
      </c>
      <c r="J271" s="44">
        <f t="shared" si="123"/>
        <v>0</v>
      </c>
      <c r="K271" s="44">
        <f t="shared" si="123"/>
        <v>6543886</v>
      </c>
      <c r="L271" s="44">
        <f t="shared" si="123"/>
        <v>0</v>
      </c>
      <c r="M271" s="44">
        <f t="shared" si="123"/>
        <v>103361</v>
      </c>
      <c r="N271" s="44">
        <f t="shared" si="123"/>
        <v>103361</v>
      </c>
      <c r="O271" s="44">
        <f t="shared" si="123"/>
        <v>103361</v>
      </c>
      <c r="P271" s="44">
        <f t="shared" si="123"/>
        <v>0</v>
      </c>
      <c r="Q271" s="69"/>
      <c r="R271" s="69"/>
      <c r="S271" s="34"/>
      <c r="T271" s="34"/>
      <c r="U271" s="34"/>
    </row>
    <row r="272" spans="1:21" s="28" customFormat="1" ht="14.85" customHeight="1">
      <c r="A272" s="879"/>
      <c r="B272" s="882"/>
      <c r="C272" s="80" t="s">
        <v>15</v>
      </c>
      <c r="D272" s="43">
        <f>D270+D271</f>
        <v>41953594</v>
      </c>
      <c r="E272" s="44">
        <f t="shared" ref="E272:P272" si="124">E270+E271</f>
        <v>40518098</v>
      </c>
      <c r="F272" s="44">
        <f t="shared" si="124"/>
        <v>3271767</v>
      </c>
      <c r="G272" s="44">
        <f t="shared" si="124"/>
        <v>2491416</v>
      </c>
      <c r="H272" s="44">
        <f t="shared" si="124"/>
        <v>780351</v>
      </c>
      <c r="I272" s="44">
        <f t="shared" si="124"/>
        <v>30000</v>
      </c>
      <c r="J272" s="44">
        <f t="shared" si="124"/>
        <v>48900</v>
      </c>
      <c r="K272" s="44">
        <f t="shared" si="124"/>
        <v>37167431</v>
      </c>
      <c r="L272" s="44">
        <f t="shared" si="124"/>
        <v>0</v>
      </c>
      <c r="M272" s="44">
        <f t="shared" si="124"/>
        <v>1435496</v>
      </c>
      <c r="N272" s="44">
        <f t="shared" si="124"/>
        <v>1435496</v>
      </c>
      <c r="O272" s="44">
        <f t="shared" si="124"/>
        <v>1366360</v>
      </c>
      <c r="P272" s="44">
        <f t="shared" si="124"/>
        <v>0</v>
      </c>
      <c r="Q272" s="69"/>
      <c r="R272" s="69"/>
      <c r="S272" s="34"/>
      <c r="T272" s="34"/>
      <c r="U272" s="34"/>
    </row>
    <row r="273" spans="1:21" s="50" customFormat="1" ht="13.5" hidden="1" customHeight="1">
      <c r="A273" s="885">
        <v>85203</v>
      </c>
      <c r="B273" s="888" t="s">
        <v>161</v>
      </c>
      <c r="C273" s="81" t="s">
        <v>13</v>
      </c>
      <c r="D273" s="45">
        <f>E273+M273</f>
        <v>1500000</v>
      </c>
      <c r="E273" s="46">
        <f>F273+I273+J273+K273+L273</f>
        <v>1500000</v>
      </c>
      <c r="F273" s="46">
        <f>G273+H273</f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1500000</v>
      </c>
      <c r="L273" s="46">
        <v>0</v>
      </c>
      <c r="M273" s="46">
        <f>N273+P273</f>
        <v>0</v>
      </c>
      <c r="N273" s="46">
        <v>0</v>
      </c>
      <c r="O273" s="46">
        <v>0</v>
      </c>
      <c r="P273" s="46">
        <v>0</v>
      </c>
      <c r="Q273" s="74"/>
      <c r="R273" s="74"/>
      <c r="S273" s="49"/>
      <c r="T273" s="49"/>
      <c r="U273" s="49"/>
    </row>
    <row r="274" spans="1:21" s="50" customFormat="1" ht="13.5" hidden="1" customHeight="1">
      <c r="A274" s="886"/>
      <c r="B274" s="889"/>
      <c r="C274" s="81" t="s">
        <v>14</v>
      </c>
      <c r="D274" s="45">
        <f>E274+M274</f>
        <v>0</v>
      </c>
      <c r="E274" s="46">
        <f>F274+I274+J274+K274+L274</f>
        <v>0</v>
      </c>
      <c r="F274" s="46">
        <f>G274+H274</f>
        <v>0</v>
      </c>
      <c r="G274" s="46"/>
      <c r="H274" s="46"/>
      <c r="I274" s="46"/>
      <c r="J274" s="46"/>
      <c r="K274" s="46"/>
      <c r="L274" s="46"/>
      <c r="M274" s="46">
        <f>N274+P274</f>
        <v>0</v>
      </c>
      <c r="N274" s="46"/>
      <c r="O274" s="46"/>
      <c r="P274" s="46"/>
      <c r="Q274" s="74"/>
      <c r="R274" s="74"/>
      <c r="S274" s="49"/>
      <c r="T274" s="49"/>
      <c r="U274" s="49"/>
    </row>
    <row r="275" spans="1:21" s="50" customFormat="1" ht="13.5" hidden="1" customHeight="1">
      <c r="A275" s="887"/>
      <c r="B275" s="890"/>
      <c r="C275" s="81" t="s">
        <v>15</v>
      </c>
      <c r="D275" s="45">
        <f>D273+D274</f>
        <v>1500000</v>
      </c>
      <c r="E275" s="46">
        <f t="shared" ref="E275:P275" si="125">E273+E274</f>
        <v>1500000</v>
      </c>
      <c r="F275" s="46">
        <f t="shared" si="125"/>
        <v>0</v>
      </c>
      <c r="G275" s="46">
        <f t="shared" si="125"/>
        <v>0</v>
      </c>
      <c r="H275" s="46">
        <f t="shared" si="125"/>
        <v>0</v>
      </c>
      <c r="I275" s="46">
        <f t="shared" si="125"/>
        <v>0</v>
      </c>
      <c r="J275" s="46">
        <f t="shared" si="125"/>
        <v>0</v>
      </c>
      <c r="K275" s="46">
        <f t="shared" si="125"/>
        <v>1500000</v>
      </c>
      <c r="L275" s="46">
        <f t="shared" si="125"/>
        <v>0</v>
      </c>
      <c r="M275" s="46">
        <f t="shared" si="125"/>
        <v>0</v>
      </c>
      <c r="N275" s="46">
        <f t="shared" si="125"/>
        <v>0</v>
      </c>
      <c r="O275" s="46">
        <f t="shared" si="125"/>
        <v>0</v>
      </c>
      <c r="P275" s="46">
        <f t="shared" si="125"/>
        <v>0</v>
      </c>
      <c r="Q275" s="74"/>
      <c r="R275" s="74"/>
      <c r="S275" s="49"/>
      <c r="T275" s="49"/>
      <c r="U275" s="49"/>
    </row>
    <row r="276" spans="1:21" s="26" customFormat="1" hidden="1">
      <c r="A276" s="885">
        <v>85205</v>
      </c>
      <c r="B276" s="888" t="s">
        <v>162</v>
      </c>
      <c r="C276" s="81" t="s">
        <v>13</v>
      </c>
      <c r="D276" s="45">
        <f>E276+M276</f>
        <v>500000</v>
      </c>
      <c r="E276" s="46">
        <f>F276+I276+J276+K276+L276</f>
        <v>500000</v>
      </c>
      <c r="F276" s="46">
        <f>G276+H276</f>
        <v>470000</v>
      </c>
      <c r="G276" s="46">
        <v>205800</v>
      </c>
      <c r="H276" s="46">
        <v>264200</v>
      </c>
      <c r="I276" s="46">
        <v>30000</v>
      </c>
      <c r="J276" s="46">
        <v>0</v>
      </c>
      <c r="K276" s="46">
        <v>0</v>
      </c>
      <c r="L276" s="46">
        <v>0</v>
      </c>
      <c r="M276" s="46">
        <f>N276+P276</f>
        <v>0</v>
      </c>
      <c r="N276" s="46">
        <v>0</v>
      </c>
      <c r="O276" s="46">
        <v>0</v>
      </c>
      <c r="P276" s="46">
        <v>0</v>
      </c>
      <c r="Q276" s="56"/>
      <c r="R276" s="56"/>
      <c r="S276" s="32"/>
      <c r="T276" s="32"/>
      <c r="U276" s="32"/>
    </row>
    <row r="277" spans="1:21" s="26" customFormat="1" hidden="1">
      <c r="A277" s="886"/>
      <c r="B277" s="889"/>
      <c r="C277" s="81" t="s">
        <v>14</v>
      </c>
      <c r="D277" s="45">
        <f>E277+M277</f>
        <v>0</v>
      </c>
      <c r="E277" s="46">
        <f>F277+I277+J277+K277+L277</f>
        <v>0</v>
      </c>
      <c r="F277" s="46">
        <f>G277+H277</f>
        <v>0</v>
      </c>
      <c r="G277" s="46"/>
      <c r="H277" s="46"/>
      <c r="I277" s="46"/>
      <c r="J277" s="46"/>
      <c r="K277" s="46"/>
      <c r="L277" s="46"/>
      <c r="M277" s="46">
        <f>N277+P277</f>
        <v>0</v>
      </c>
      <c r="N277" s="46"/>
      <c r="O277" s="46"/>
      <c r="P277" s="46"/>
      <c r="Q277" s="56"/>
      <c r="R277" s="56"/>
      <c r="S277" s="32"/>
      <c r="T277" s="32"/>
      <c r="U277" s="32"/>
    </row>
    <row r="278" spans="1:21" s="26" customFormat="1" hidden="1">
      <c r="A278" s="887"/>
      <c r="B278" s="890"/>
      <c r="C278" s="81" t="s">
        <v>15</v>
      </c>
      <c r="D278" s="45">
        <f>D276+D277</f>
        <v>500000</v>
      </c>
      <c r="E278" s="46">
        <f t="shared" ref="E278:P278" si="126">E276+E277</f>
        <v>500000</v>
      </c>
      <c r="F278" s="46">
        <f t="shared" si="126"/>
        <v>470000</v>
      </c>
      <c r="G278" s="46">
        <f t="shared" si="126"/>
        <v>205800</v>
      </c>
      <c r="H278" s="46">
        <f t="shared" si="126"/>
        <v>264200</v>
      </c>
      <c r="I278" s="46">
        <f t="shared" si="126"/>
        <v>30000</v>
      </c>
      <c r="J278" s="46">
        <f t="shared" si="126"/>
        <v>0</v>
      </c>
      <c r="K278" s="46">
        <f t="shared" si="126"/>
        <v>0</v>
      </c>
      <c r="L278" s="46">
        <f t="shared" si="126"/>
        <v>0</v>
      </c>
      <c r="M278" s="46">
        <f t="shared" si="126"/>
        <v>0</v>
      </c>
      <c r="N278" s="46">
        <f t="shared" si="126"/>
        <v>0</v>
      </c>
      <c r="O278" s="46">
        <f t="shared" si="126"/>
        <v>0</v>
      </c>
      <c r="P278" s="46">
        <f t="shared" si="126"/>
        <v>0</v>
      </c>
      <c r="Q278" s="56"/>
      <c r="R278" s="56"/>
      <c r="S278" s="32"/>
      <c r="T278" s="32"/>
      <c r="U278" s="32"/>
    </row>
    <row r="279" spans="1:21" s="50" customFormat="1" ht="13.5" hidden="1" customHeight="1">
      <c r="A279" s="885">
        <v>85217</v>
      </c>
      <c r="B279" s="888" t="s">
        <v>163</v>
      </c>
      <c r="C279" s="81" t="s">
        <v>13</v>
      </c>
      <c r="D279" s="45">
        <f>E279+M279</f>
        <v>3459798</v>
      </c>
      <c r="E279" s="46">
        <f>F279+I279+J279+K279+L279</f>
        <v>2790667</v>
      </c>
      <c r="F279" s="46">
        <f>G279+H279</f>
        <v>2786767</v>
      </c>
      <c r="G279" s="46">
        <v>2275616</v>
      </c>
      <c r="H279" s="46">
        <v>511151</v>
      </c>
      <c r="I279" s="46">
        <v>0</v>
      </c>
      <c r="J279" s="46">
        <v>3900</v>
      </c>
      <c r="K279" s="46">
        <v>0</v>
      </c>
      <c r="L279" s="46">
        <v>0</v>
      </c>
      <c r="M279" s="46">
        <f>N279+P279</f>
        <v>669131</v>
      </c>
      <c r="N279" s="46">
        <v>669131</v>
      </c>
      <c r="O279" s="46">
        <f>509996+89999</f>
        <v>599995</v>
      </c>
      <c r="P279" s="46">
        <v>0</v>
      </c>
      <c r="Q279" s="74"/>
      <c r="R279" s="74"/>
      <c r="S279" s="49"/>
      <c r="T279" s="49"/>
      <c r="U279" s="49"/>
    </row>
    <row r="280" spans="1:21" s="50" customFormat="1" ht="13.5" hidden="1" customHeight="1">
      <c r="A280" s="886"/>
      <c r="B280" s="889"/>
      <c r="C280" s="81" t="s">
        <v>14</v>
      </c>
      <c r="D280" s="45">
        <f>E280+M280</f>
        <v>0</v>
      </c>
      <c r="E280" s="46">
        <f>F280+I280+J280+K280+L280</f>
        <v>0</v>
      </c>
      <c r="F280" s="46">
        <f>G280+H280</f>
        <v>0</v>
      </c>
      <c r="G280" s="46"/>
      <c r="H280" s="46"/>
      <c r="I280" s="46"/>
      <c r="J280" s="46"/>
      <c r="K280" s="46"/>
      <c r="L280" s="46"/>
      <c r="M280" s="46">
        <f>N280+P280</f>
        <v>0</v>
      </c>
      <c r="N280" s="46"/>
      <c r="O280" s="46"/>
      <c r="P280" s="46"/>
      <c r="Q280" s="74"/>
      <c r="R280" s="74"/>
      <c r="S280" s="49"/>
      <c r="T280" s="49"/>
      <c r="U280" s="49"/>
    </row>
    <row r="281" spans="1:21" s="50" customFormat="1" ht="13.5" hidden="1" customHeight="1">
      <c r="A281" s="887"/>
      <c r="B281" s="890"/>
      <c r="C281" s="81" t="s">
        <v>15</v>
      </c>
      <c r="D281" s="45">
        <f>D279+D280</f>
        <v>3459798</v>
      </c>
      <c r="E281" s="46">
        <f t="shared" ref="E281:P281" si="127">E279+E280</f>
        <v>2790667</v>
      </c>
      <c r="F281" s="46">
        <f t="shared" si="127"/>
        <v>2786767</v>
      </c>
      <c r="G281" s="46">
        <f t="shared" si="127"/>
        <v>2275616</v>
      </c>
      <c r="H281" s="46">
        <f t="shared" si="127"/>
        <v>511151</v>
      </c>
      <c r="I281" s="46">
        <f t="shared" si="127"/>
        <v>0</v>
      </c>
      <c r="J281" s="46">
        <f t="shared" si="127"/>
        <v>3900</v>
      </c>
      <c r="K281" s="46">
        <f t="shared" si="127"/>
        <v>0</v>
      </c>
      <c r="L281" s="46">
        <f t="shared" si="127"/>
        <v>0</v>
      </c>
      <c r="M281" s="46">
        <f t="shared" si="127"/>
        <v>669131</v>
      </c>
      <c r="N281" s="46">
        <f t="shared" si="127"/>
        <v>669131</v>
      </c>
      <c r="O281" s="46">
        <f t="shared" si="127"/>
        <v>599995</v>
      </c>
      <c r="P281" s="46">
        <f t="shared" si="127"/>
        <v>0</v>
      </c>
      <c r="Q281" s="74"/>
      <c r="R281" s="74"/>
      <c r="S281" s="49"/>
      <c r="T281" s="49"/>
      <c r="U281" s="49"/>
    </row>
    <row r="282" spans="1:21" s="26" customFormat="1" hidden="1">
      <c r="A282" s="885">
        <v>85228</v>
      </c>
      <c r="B282" s="888" t="s">
        <v>164</v>
      </c>
      <c r="C282" s="81" t="s">
        <v>13</v>
      </c>
      <c r="D282" s="45">
        <f>E282+M282</f>
        <v>55000</v>
      </c>
      <c r="E282" s="46">
        <f>F282+I282+J282+K282+L282</f>
        <v>55000</v>
      </c>
      <c r="F282" s="46">
        <f>G282+H282</f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55000</v>
      </c>
      <c r="L282" s="46">
        <v>0</v>
      </c>
      <c r="M282" s="46">
        <f>N282+P282</f>
        <v>0</v>
      </c>
      <c r="N282" s="46">
        <v>0</v>
      </c>
      <c r="O282" s="46">
        <v>0</v>
      </c>
      <c r="P282" s="46">
        <v>0</v>
      </c>
      <c r="Q282" s="56"/>
      <c r="R282" s="56"/>
      <c r="S282" s="32"/>
      <c r="T282" s="32"/>
      <c r="U282" s="32"/>
    </row>
    <row r="283" spans="1:21" s="26" customFormat="1" hidden="1">
      <c r="A283" s="886"/>
      <c r="B283" s="889"/>
      <c r="C283" s="81" t="s">
        <v>14</v>
      </c>
      <c r="D283" s="45">
        <f>E283+M283</f>
        <v>0</v>
      </c>
      <c r="E283" s="46">
        <f>F283+I283+J283+K283+L283</f>
        <v>0</v>
      </c>
      <c r="F283" s="46">
        <f>G283+H283</f>
        <v>0</v>
      </c>
      <c r="G283" s="46"/>
      <c r="H283" s="46"/>
      <c r="I283" s="46"/>
      <c r="J283" s="46"/>
      <c r="K283" s="46"/>
      <c r="L283" s="46"/>
      <c r="M283" s="46">
        <f>N283+P283</f>
        <v>0</v>
      </c>
      <c r="N283" s="46"/>
      <c r="O283" s="46"/>
      <c r="P283" s="46"/>
      <c r="Q283" s="56"/>
      <c r="R283" s="56"/>
      <c r="S283" s="32"/>
      <c r="T283" s="32"/>
      <c r="U283" s="32"/>
    </row>
    <row r="284" spans="1:21" s="26" customFormat="1" hidden="1">
      <c r="A284" s="887"/>
      <c r="B284" s="890"/>
      <c r="C284" s="81" t="s">
        <v>15</v>
      </c>
      <c r="D284" s="45">
        <f>D282+D283</f>
        <v>55000</v>
      </c>
      <c r="E284" s="46">
        <f t="shared" ref="E284:P284" si="128">E282+E283</f>
        <v>55000</v>
      </c>
      <c r="F284" s="46">
        <f t="shared" si="128"/>
        <v>0</v>
      </c>
      <c r="G284" s="46">
        <f t="shared" si="128"/>
        <v>0</v>
      </c>
      <c r="H284" s="46">
        <f t="shared" si="128"/>
        <v>0</v>
      </c>
      <c r="I284" s="46">
        <f t="shared" si="128"/>
        <v>0</v>
      </c>
      <c r="J284" s="46">
        <f t="shared" si="128"/>
        <v>0</v>
      </c>
      <c r="K284" s="46">
        <f t="shared" si="128"/>
        <v>55000</v>
      </c>
      <c r="L284" s="46">
        <f t="shared" si="128"/>
        <v>0</v>
      </c>
      <c r="M284" s="46">
        <f t="shared" si="128"/>
        <v>0</v>
      </c>
      <c r="N284" s="46">
        <f t="shared" si="128"/>
        <v>0</v>
      </c>
      <c r="O284" s="46">
        <f t="shared" si="128"/>
        <v>0</v>
      </c>
      <c r="P284" s="46">
        <f t="shared" si="128"/>
        <v>0</v>
      </c>
      <c r="Q284" s="56"/>
      <c r="R284" s="56"/>
      <c r="S284" s="32"/>
      <c r="T284" s="32"/>
      <c r="U284" s="32"/>
    </row>
    <row r="285" spans="1:21" s="50" customFormat="1" ht="14.85" customHeight="1">
      <c r="A285" s="885">
        <v>85295</v>
      </c>
      <c r="B285" s="888" t="s">
        <v>51</v>
      </c>
      <c r="C285" s="81" t="s">
        <v>13</v>
      </c>
      <c r="D285" s="45">
        <f>E285+M285</f>
        <v>29791549</v>
      </c>
      <c r="E285" s="46">
        <f>F285+I285+J285+K285+L285</f>
        <v>29128545</v>
      </c>
      <c r="F285" s="46">
        <f>G285+H285</f>
        <v>15000</v>
      </c>
      <c r="G285" s="46">
        <v>10000</v>
      </c>
      <c r="H285" s="46">
        <f>5000</f>
        <v>5000</v>
      </c>
      <c r="I285" s="46">
        <v>0</v>
      </c>
      <c r="J285" s="46">
        <v>45000</v>
      </c>
      <c r="K285" s="46">
        <v>29068545</v>
      </c>
      <c r="L285" s="46">
        <v>0</v>
      </c>
      <c r="M285" s="46">
        <f>N285+P285</f>
        <v>663004</v>
      </c>
      <c r="N285" s="46">
        <v>663004</v>
      </c>
      <c r="O285" s="46">
        <v>663004</v>
      </c>
      <c r="P285" s="46">
        <v>0</v>
      </c>
      <c r="Q285" s="74"/>
      <c r="R285" s="74"/>
      <c r="S285" s="49"/>
      <c r="T285" s="49"/>
      <c r="U285" s="49"/>
    </row>
    <row r="286" spans="1:21" s="50" customFormat="1" ht="14.85" customHeight="1">
      <c r="A286" s="886"/>
      <c r="B286" s="889"/>
      <c r="C286" s="81" t="s">
        <v>14</v>
      </c>
      <c r="D286" s="45">
        <f>E286+M286</f>
        <v>6647247</v>
      </c>
      <c r="E286" s="46">
        <f>F286+I286+J286+K286+L286</f>
        <v>6543886</v>
      </c>
      <c r="F286" s="46">
        <f>G286+H286</f>
        <v>0</v>
      </c>
      <c r="G286" s="46"/>
      <c r="H286" s="46"/>
      <c r="I286" s="46"/>
      <c r="J286" s="46"/>
      <c r="K286" s="46">
        <f>6647247-103361</f>
        <v>6543886</v>
      </c>
      <c r="L286" s="46"/>
      <c r="M286" s="46">
        <f>N286+P286</f>
        <v>103361</v>
      </c>
      <c r="N286" s="46">
        <v>103361</v>
      </c>
      <c r="O286" s="46">
        <v>103361</v>
      </c>
      <c r="P286" s="46"/>
      <c r="Q286" s="74"/>
      <c r="R286" s="74"/>
      <c r="S286" s="49"/>
      <c r="T286" s="49"/>
      <c r="U286" s="49"/>
    </row>
    <row r="287" spans="1:21" s="50" customFormat="1" ht="14.85" customHeight="1">
      <c r="A287" s="887"/>
      <c r="B287" s="890"/>
      <c r="C287" s="81" t="s">
        <v>15</v>
      </c>
      <c r="D287" s="45">
        <f>D285+D286</f>
        <v>36438796</v>
      </c>
      <c r="E287" s="46">
        <f t="shared" ref="E287:P287" si="129">E285+E286</f>
        <v>35672431</v>
      </c>
      <c r="F287" s="46">
        <f t="shared" si="129"/>
        <v>15000</v>
      </c>
      <c r="G287" s="46">
        <f t="shared" si="129"/>
        <v>10000</v>
      </c>
      <c r="H287" s="46">
        <f t="shared" si="129"/>
        <v>5000</v>
      </c>
      <c r="I287" s="46">
        <f t="shared" si="129"/>
        <v>0</v>
      </c>
      <c r="J287" s="46">
        <f t="shared" si="129"/>
        <v>45000</v>
      </c>
      <c r="K287" s="46">
        <f t="shared" si="129"/>
        <v>35612431</v>
      </c>
      <c r="L287" s="46">
        <f t="shared" si="129"/>
        <v>0</v>
      </c>
      <c r="M287" s="46">
        <f t="shared" si="129"/>
        <v>766365</v>
      </c>
      <c r="N287" s="46">
        <f t="shared" si="129"/>
        <v>766365</v>
      </c>
      <c r="O287" s="46">
        <f t="shared" si="129"/>
        <v>766365</v>
      </c>
      <c r="P287" s="46">
        <f t="shared" si="129"/>
        <v>0</v>
      </c>
      <c r="Q287" s="74"/>
      <c r="R287" s="74"/>
      <c r="S287" s="49"/>
      <c r="T287" s="49"/>
      <c r="U287" s="49"/>
    </row>
    <row r="288" spans="1:21" s="28" customFormat="1" ht="14.25">
      <c r="A288" s="877">
        <v>853</v>
      </c>
      <c r="B288" s="880" t="s">
        <v>37</v>
      </c>
      <c r="C288" s="80" t="s">
        <v>13</v>
      </c>
      <c r="D288" s="43">
        <f t="shared" ref="D288:P289" si="130">D291+D294+D300+D303+D297</f>
        <v>26572058</v>
      </c>
      <c r="E288" s="44">
        <f t="shared" si="130"/>
        <v>26572058</v>
      </c>
      <c r="F288" s="44">
        <f t="shared" si="130"/>
        <v>11598364</v>
      </c>
      <c r="G288" s="44">
        <f t="shared" si="130"/>
        <v>9306737</v>
      </c>
      <c r="H288" s="44">
        <f t="shared" si="130"/>
        <v>2291627</v>
      </c>
      <c r="I288" s="44">
        <f t="shared" si="130"/>
        <v>544000</v>
      </c>
      <c r="J288" s="44">
        <f t="shared" si="130"/>
        <v>29500</v>
      </c>
      <c r="K288" s="44">
        <f t="shared" si="130"/>
        <v>14400194</v>
      </c>
      <c r="L288" s="44">
        <f t="shared" si="130"/>
        <v>0</v>
      </c>
      <c r="M288" s="44">
        <f t="shared" si="130"/>
        <v>0</v>
      </c>
      <c r="N288" s="44">
        <f t="shared" si="130"/>
        <v>0</v>
      </c>
      <c r="O288" s="44">
        <f t="shared" si="130"/>
        <v>0</v>
      </c>
      <c r="P288" s="44">
        <f t="shared" si="130"/>
        <v>0</v>
      </c>
      <c r="Q288" s="69"/>
      <c r="R288" s="69"/>
      <c r="S288" s="34"/>
      <c r="T288" s="34"/>
      <c r="U288" s="34"/>
    </row>
    <row r="289" spans="1:21" s="28" customFormat="1" ht="14.25">
      <c r="A289" s="878"/>
      <c r="B289" s="881"/>
      <c r="C289" s="80" t="s">
        <v>14</v>
      </c>
      <c r="D289" s="43">
        <f t="shared" si="130"/>
        <v>4783237</v>
      </c>
      <c r="E289" s="44">
        <f t="shared" si="130"/>
        <v>4783237</v>
      </c>
      <c r="F289" s="44">
        <f t="shared" si="130"/>
        <v>10807</v>
      </c>
      <c r="G289" s="44">
        <f t="shared" si="130"/>
        <v>10807</v>
      </c>
      <c r="H289" s="44">
        <f t="shared" si="130"/>
        <v>0</v>
      </c>
      <c r="I289" s="44">
        <f t="shared" si="130"/>
        <v>0</v>
      </c>
      <c r="J289" s="44">
        <f t="shared" si="130"/>
        <v>0</v>
      </c>
      <c r="K289" s="44">
        <f t="shared" si="130"/>
        <v>4772430</v>
      </c>
      <c r="L289" s="44">
        <f t="shared" si="130"/>
        <v>0</v>
      </c>
      <c r="M289" s="44">
        <f t="shared" si="130"/>
        <v>0</v>
      </c>
      <c r="N289" s="44">
        <f t="shared" si="130"/>
        <v>0</v>
      </c>
      <c r="O289" s="44">
        <f t="shared" si="130"/>
        <v>0</v>
      </c>
      <c r="P289" s="44">
        <f t="shared" si="130"/>
        <v>0</v>
      </c>
      <c r="Q289" s="69"/>
      <c r="R289" s="69"/>
      <c r="S289" s="34"/>
      <c r="T289" s="34"/>
      <c r="U289" s="34"/>
    </row>
    <row r="290" spans="1:21" s="28" customFormat="1" ht="14.25">
      <c r="A290" s="879"/>
      <c r="B290" s="882"/>
      <c r="C290" s="80" t="s">
        <v>15</v>
      </c>
      <c r="D290" s="43">
        <f>D288+D289</f>
        <v>31355295</v>
      </c>
      <c r="E290" s="44">
        <f t="shared" ref="E290:P290" si="131">E288+E289</f>
        <v>31355295</v>
      </c>
      <c r="F290" s="44">
        <f t="shared" si="131"/>
        <v>11609171</v>
      </c>
      <c r="G290" s="44">
        <f t="shared" si="131"/>
        <v>9317544</v>
      </c>
      <c r="H290" s="44">
        <f t="shared" si="131"/>
        <v>2291627</v>
      </c>
      <c r="I290" s="44">
        <f t="shared" si="131"/>
        <v>544000</v>
      </c>
      <c r="J290" s="44">
        <f t="shared" si="131"/>
        <v>29500</v>
      </c>
      <c r="K290" s="44">
        <f t="shared" si="131"/>
        <v>19172624</v>
      </c>
      <c r="L290" s="44">
        <f t="shared" si="131"/>
        <v>0</v>
      </c>
      <c r="M290" s="44">
        <f t="shared" si="131"/>
        <v>0</v>
      </c>
      <c r="N290" s="44">
        <f t="shared" si="131"/>
        <v>0</v>
      </c>
      <c r="O290" s="44">
        <f t="shared" si="131"/>
        <v>0</v>
      </c>
      <c r="P290" s="44">
        <f t="shared" si="131"/>
        <v>0</v>
      </c>
      <c r="Q290" s="69"/>
      <c r="R290" s="69"/>
      <c r="S290" s="34"/>
      <c r="T290" s="34"/>
      <c r="U290" s="34"/>
    </row>
    <row r="291" spans="1:21" s="26" customFormat="1" hidden="1">
      <c r="A291" s="885">
        <v>85311</v>
      </c>
      <c r="B291" s="888" t="s">
        <v>165</v>
      </c>
      <c r="C291" s="81" t="s">
        <v>13</v>
      </c>
      <c r="D291" s="45">
        <f>E291+M291</f>
        <v>444000</v>
      </c>
      <c r="E291" s="46">
        <f>F291+I291+J291+K291+L291</f>
        <v>444000</v>
      </c>
      <c r="F291" s="46">
        <f>G291+H291</f>
        <v>0</v>
      </c>
      <c r="G291" s="46">
        <v>0</v>
      </c>
      <c r="H291" s="46">
        <v>0</v>
      </c>
      <c r="I291" s="46">
        <v>444000</v>
      </c>
      <c r="J291" s="46">
        <v>0</v>
      </c>
      <c r="K291" s="46">
        <v>0</v>
      </c>
      <c r="L291" s="46">
        <v>0</v>
      </c>
      <c r="M291" s="46">
        <f>N291+P291</f>
        <v>0</v>
      </c>
      <c r="N291" s="46">
        <v>0</v>
      </c>
      <c r="O291" s="46">
        <v>0</v>
      </c>
      <c r="P291" s="46">
        <v>0</v>
      </c>
      <c r="Q291" s="56"/>
      <c r="R291" s="56"/>
      <c r="S291" s="32"/>
      <c r="T291" s="32"/>
      <c r="U291" s="32"/>
    </row>
    <row r="292" spans="1:21" s="26" customFormat="1" hidden="1">
      <c r="A292" s="886"/>
      <c r="B292" s="889"/>
      <c r="C292" s="81" t="s">
        <v>14</v>
      </c>
      <c r="D292" s="45">
        <f>E292+M292</f>
        <v>0</v>
      </c>
      <c r="E292" s="46">
        <f>F292+I292+J292+K292+L292</f>
        <v>0</v>
      </c>
      <c r="F292" s="46">
        <f>G292+H292</f>
        <v>0</v>
      </c>
      <c r="G292" s="46"/>
      <c r="H292" s="46"/>
      <c r="I292" s="46"/>
      <c r="J292" s="46"/>
      <c r="K292" s="46"/>
      <c r="L292" s="46"/>
      <c r="M292" s="46">
        <f>N292+P292</f>
        <v>0</v>
      </c>
      <c r="N292" s="46"/>
      <c r="O292" s="46"/>
      <c r="P292" s="46"/>
      <c r="Q292" s="56"/>
      <c r="R292" s="56"/>
      <c r="S292" s="32"/>
      <c r="T292" s="32"/>
      <c r="U292" s="32"/>
    </row>
    <row r="293" spans="1:21" s="26" customFormat="1" hidden="1">
      <c r="A293" s="887"/>
      <c r="B293" s="890"/>
      <c r="C293" s="81" t="s">
        <v>15</v>
      </c>
      <c r="D293" s="45">
        <f>D291+D292</f>
        <v>444000</v>
      </c>
      <c r="E293" s="46">
        <f t="shared" ref="E293:P293" si="132">E291+E292</f>
        <v>444000</v>
      </c>
      <c r="F293" s="46">
        <f t="shared" si="132"/>
        <v>0</v>
      </c>
      <c r="G293" s="46">
        <f t="shared" si="132"/>
        <v>0</v>
      </c>
      <c r="H293" s="46">
        <f t="shared" si="132"/>
        <v>0</v>
      </c>
      <c r="I293" s="46">
        <f t="shared" si="132"/>
        <v>444000</v>
      </c>
      <c r="J293" s="46">
        <f t="shared" si="132"/>
        <v>0</v>
      </c>
      <c r="K293" s="46">
        <f t="shared" si="132"/>
        <v>0</v>
      </c>
      <c r="L293" s="46">
        <f t="shared" si="132"/>
        <v>0</v>
      </c>
      <c r="M293" s="46">
        <f t="shared" si="132"/>
        <v>0</v>
      </c>
      <c r="N293" s="46">
        <f t="shared" si="132"/>
        <v>0</v>
      </c>
      <c r="O293" s="46">
        <f t="shared" si="132"/>
        <v>0</v>
      </c>
      <c r="P293" s="46">
        <f t="shared" si="132"/>
        <v>0</v>
      </c>
      <c r="Q293" s="56"/>
      <c r="R293" s="56"/>
      <c r="S293" s="32"/>
      <c r="T293" s="32"/>
      <c r="U293" s="32"/>
    </row>
    <row r="294" spans="1:21" s="26" customFormat="1" ht="14.85" customHeight="1">
      <c r="A294" s="885">
        <v>85324</v>
      </c>
      <c r="B294" s="888" t="s">
        <v>166</v>
      </c>
      <c r="C294" s="81" t="s">
        <v>13</v>
      </c>
      <c r="D294" s="45">
        <f>E294+M294</f>
        <v>375000</v>
      </c>
      <c r="E294" s="46">
        <f>F294+I294+J294+K294+L294</f>
        <v>375000</v>
      </c>
      <c r="F294" s="46">
        <f>G294+H294</f>
        <v>375000</v>
      </c>
      <c r="G294" s="46">
        <v>311000</v>
      </c>
      <c r="H294" s="46">
        <f>50000+2000+2000+2000+3000+5000</f>
        <v>64000</v>
      </c>
      <c r="I294" s="46">
        <v>0</v>
      </c>
      <c r="J294" s="46">
        <v>0</v>
      </c>
      <c r="K294" s="46">
        <v>0</v>
      </c>
      <c r="L294" s="46">
        <v>0</v>
      </c>
      <c r="M294" s="46">
        <f>N294+P294</f>
        <v>0</v>
      </c>
      <c r="N294" s="46">
        <v>0</v>
      </c>
      <c r="O294" s="46">
        <v>0</v>
      </c>
      <c r="P294" s="46">
        <v>0</v>
      </c>
      <c r="Q294" s="56"/>
      <c r="R294" s="56"/>
      <c r="S294" s="32"/>
      <c r="T294" s="32"/>
      <c r="U294" s="32"/>
    </row>
    <row r="295" spans="1:21" s="26" customFormat="1" ht="14.85" customHeight="1">
      <c r="A295" s="886"/>
      <c r="B295" s="889"/>
      <c r="C295" s="81" t="s">
        <v>14</v>
      </c>
      <c r="D295" s="45">
        <f>E295+M295</f>
        <v>10807</v>
      </c>
      <c r="E295" s="46">
        <f>F295+I295+J295+K295+L295</f>
        <v>10807</v>
      </c>
      <c r="F295" s="46">
        <f>G295+H295</f>
        <v>10807</v>
      </c>
      <c r="G295" s="46">
        <v>10807</v>
      </c>
      <c r="H295" s="46"/>
      <c r="I295" s="46"/>
      <c r="J295" s="46"/>
      <c r="K295" s="46"/>
      <c r="L295" s="46"/>
      <c r="M295" s="46">
        <f>N295+P295</f>
        <v>0</v>
      </c>
      <c r="N295" s="46"/>
      <c r="O295" s="46"/>
      <c r="P295" s="46"/>
      <c r="Q295" s="56"/>
      <c r="R295" s="56"/>
      <c r="S295" s="32"/>
      <c r="T295" s="32"/>
      <c r="U295" s="32"/>
    </row>
    <row r="296" spans="1:21" s="26" customFormat="1" ht="14.85" customHeight="1">
      <c r="A296" s="887"/>
      <c r="B296" s="890"/>
      <c r="C296" s="81" t="s">
        <v>15</v>
      </c>
      <c r="D296" s="45">
        <f>D294+D295</f>
        <v>385807</v>
      </c>
      <c r="E296" s="46">
        <f t="shared" ref="E296:P296" si="133">E294+E295</f>
        <v>385807</v>
      </c>
      <c r="F296" s="46">
        <f t="shared" si="133"/>
        <v>385807</v>
      </c>
      <c r="G296" s="46">
        <f t="shared" si="133"/>
        <v>321807</v>
      </c>
      <c r="H296" s="46">
        <f t="shared" si="133"/>
        <v>64000</v>
      </c>
      <c r="I296" s="46">
        <f t="shared" si="133"/>
        <v>0</v>
      </c>
      <c r="J296" s="46">
        <f t="shared" si="133"/>
        <v>0</v>
      </c>
      <c r="K296" s="46">
        <f t="shared" si="133"/>
        <v>0</v>
      </c>
      <c r="L296" s="46">
        <f t="shared" si="133"/>
        <v>0</v>
      </c>
      <c r="M296" s="46">
        <f t="shared" si="133"/>
        <v>0</v>
      </c>
      <c r="N296" s="46">
        <f t="shared" si="133"/>
        <v>0</v>
      </c>
      <c r="O296" s="46">
        <f t="shared" si="133"/>
        <v>0</v>
      </c>
      <c r="P296" s="46">
        <f t="shared" si="133"/>
        <v>0</v>
      </c>
      <c r="Q296" s="56"/>
      <c r="R296" s="56"/>
      <c r="S296" s="32"/>
      <c r="T296" s="32"/>
      <c r="U296" s="32"/>
    </row>
    <row r="297" spans="1:21" s="26" customFormat="1" hidden="1">
      <c r="A297" s="885">
        <v>85325</v>
      </c>
      <c r="B297" s="888" t="s">
        <v>167</v>
      </c>
      <c r="C297" s="81" t="s">
        <v>13</v>
      </c>
      <c r="D297" s="45">
        <f>E297+M297</f>
        <v>2220300</v>
      </c>
      <c r="E297" s="46">
        <f>F297+I297+J297+K297+L297</f>
        <v>2220300</v>
      </c>
      <c r="F297" s="46">
        <f>G297+H297</f>
        <v>2218300</v>
      </c>
      <c r="G297" s="46">
        <v>1881300</v>
      </c>
      <c r="H297" s="46">
        <v>337000</v>
      </c>
      <c r="I297" s="46">
        <v>0</v>
      </c>
      <c r="J297" s="46">
        <v>2000</v>
      </c>
      <c r="K297" s="46">
        <v>0</v>
      </c>
      <c r="L297" s="46">
        <v>0</v>
      </c>
      <c r="M297" s="46">
        <f>N297+P297</f>
        <v>0</v>
      </c>
      <c r="N297" s="46">
        <v>0</v>
      </c>
      <c r="O297" s="46">
        <v>0</v>
      </c>
      <c r="P297" s="46">
        <v>0</v>
      </c>
      <c r="Q297" s="56"/>
      <c r="R297" s="56"/>
      <c r="S297" s="32"/>
      <c r="T297" s="32"/>
      <c r="U297" s="32"/>
    </row>
    <row r="298" spans="1:21" s="26" customFormat="1" hidden="1">
      <c r="A298" s="886"/>
      <c r="B298" s="889"/>
      <c r="C298" s="81" t="s">
        <v>14</v>
      </c>
      <c r="D298" s="45">
        <f>E298+M298</f>
        <v>0</v>
      </c>
      <c r="E298" s="46">
        <f>F298+I298+J298+K298+L298</f>
        <v>0</v>
      </c>
      <c r="F298" s="46">
        <f>G298+H298</f>
        <v>0</v>
      </c>
      <c r="G298" s="46"/>
      <c r="H298" s="46"/>
      <c r="I298" s="46"/>
      <c r="J298" s="46"/>
      <c r="K298" s="46"/>
      <c r="L298" s="46"/>
      <c r="M298" s="46">
        <f>N298+P298</f>
        <v>0</v>
      </c>
      <c r="N298" s="46"/>
      <c r="O298" s="46"/>
      <c r="P298" s="46"/>
      <c r="Q298" s="56"/>
      <c r="R298" s="56"/>
      <c r="S298" s="32"/>
      <c r="T298" s="32"/>
      <c r="U298" s="32"/>
    </row>
    <row r="299" spans="1:21" s="26" customFormat="1" hidden="1">
      <c r="A299" s="887"/>
      <c r="B299" s="890"/>
      <c r="C299" s="81" t="s">
        <v>15</v>
      </c>
      <c r="D299" s="45">
        <f>D297+D298</f>
        <v>2220300</v>
      </c>
      <c r="E299" s="46">
        <f t="shared" ref="E299:P299" si="134">E297+E298</f>
        <v>2220300</v>
      </c>
      <c r="F299" s="46">
        <f t="shared" si="134"/>
        <v>2218300</v>
      </c>
      <c r="G299" s="46">
        <f t="shared" si="134"/>
        <v>1881300</v>
      </c>
      <c r="H299" s="46">
        <f t="shared" si="134"/>
        <v>337000</v>
      </c>
      <c r="I299" s="46">
        <f t="shared" si="134"/>
        <v>0</v>
      </c>
      <c r="J299" s="46">
        <f t="shared" si="134"/>
        <v>2000</v>
      </c>
      <c r="K299" s="46">
        <f t="shared" si="134"/>
        <v>0</v>
      </c>
      <c r="L299" s="46">
        <f t="shared" si="134"/>
        <v>0</v>
      </c>
      <c r="M299" s="46">
        <f t="shared" si="134"/>
        <v>0</v>
      </c>
      <c r="N299" s="46">
        <f t="shared" si="134"/>
        <v>0</v>
      </c>
      <c r="O299" s="46">
        <f t="shared" si="134"/>
        <v>0</v>
      </c>
      <c r="P299" s="46">
        <f t="shared" si="134"/>
        <v>0</v>
      </c>
      <c r="Q299" s="56"/>
      <c r="R299" s="56"/>
      <c r="S299" s="32"/>
      <c r="T299" s="32"/>
      <c r="U299" s="32"/>
    </row>
    <row r="300" spans="1:21" s="50" customFormat="1" ht="14.85" customHeight="1">
      <c r="A300" s="885">
        <v>85332</v>
      </c>
      <c r="B300" s="888" t="s">
        <v>61</v>
      </c>
      <c r="C300" s="81" t="s">
        <v>13</v>
      </c>
      <c r="D300" s="45">
        <f>E300+M300</f>
        <v>17720052</v>
      </c>
      <c r="E300" s="46">
        <f>F300+I300+J300+K300+L300</f>
        <v>17720052</v>
      </c>
      <c r="F300" s="46">
        <f>G300+H300</f>
        <v>8833564</v>
      </c>
      <c r="G300" s="46">
        <v>7114437</v>
      </c>
      <c r="H300" s="46">
        <f>37000+140000+2000+225000+131500+4000+355000+40000+1000+428700+14000+3000+9000+251427+29500+42000+6000</f>
        <v>1719127</v>
      </c>
      <c r="I300" s="46">
        <v>0</v>
      </c>
      <c r="J300" s="46">
        <v>27500</v>
      </c>
      <c r="K300" s="46">
        <v>8858988</v>
      </c>
      <c r="L300" s="46">
        <v>0</v>
      </c>
      <c r="M300" s="46">
        <f>N300+P300</f>
        <v>0</v>
      </c>
      <c r="N300" s="46">
        <v>0</v>
      </c>
      <c r="O300" s="46">
        <v>0</v>
      </c>
      <c r="P300" s="46">
        <v>0</v>
      </c>
      <c r="Q300" s="74"/>
      <c r="R300" s="74"/>
      <c r="S300" s="49"/>
      <c r="T300" s="49"/>
      <c r="U300" s="49"/>
    </row>
    <row r="301" spans="1:21" s="50" customFormat="1" ht="14.85" customHeight="1">
      <c r="A301" s="886"/>
      <c r="B301" s="889"/>
      <c r="C301" s="81" t="s">
        <v>14</v>
      </c>
      <c r="D301" s="45">
        <f>E301+M301</f>
        <v>303414</v>
      </c>
      <c r="E301" s="46">
        <f>F301+I301+J301+K301+L301</f>
        <v>303414</v>
      </c>
      <c r="F301" s="46">
        <f>G301+H301</f>
        <v>0</v>
      </c>
      <c r="G301" s="46"/>
      <c r="H301" s="46"/>
      <c r="I301" s="46"/>
      <c r="J301" s="46"/>
      <c r="K301" s="46">
        <f>326095-22681</f>
        <v>303414</v>
      </c>
      <c r="L301" s="46"/>
      <c r="M301" s="46">
        <f>N301+P301</f>
        <v>0</v>
      </c>
      <c r="N301" s="46"/>
      <c r="O301" s="46"/>
      <c r="P301" s="46"/>
      <c r="Q301" s="74"/>
      <c r="R301" s="74"/>
      <c r="S301" s="49"/>
      <c r="T301" s="49"/>
      <c r="U301" s="49"/>
    </row>
    <row r="302" spans="1:21" s="50" customFormat="1" ht="14.85" customHeight="1">
      <c r="A302" s="887"/>
      <c r="B302" s="890"/>
      <c r="C302" s="81" t="s">
        <v>15</v>
      </c>
      <c r="D302" s="45">
        <f>D300+D301</f>
        <v>18023466</v>
      </c>
      <c r="E302" s="46">
        <f t="shared" ref="E302:P302" si="135">E300+E301</f>
        <v>18023466</v>
      </c>
      <c r="F302" s="46">
        <f t="shared" si="135"/>
        <v>8833564</v>
      </c>
      <c r="G302" s="46">
        <f t="shared" si="135"/>
        <v>7114437</v>
      </c>
      <c r="H302" s="46">
        <f t="shared" si="135"/>
        <v>1719127</v>
      </c>
      <c r="I302" s="46">
        <f t="shared" si="135"/>
        <v>0</v>
      </c>
      <c r="J302" s="46">
        <f t="shared" si="135"/>
        <v>27500</v>
      </c>
      <c r="K302" s="46">
        <f t="shared" si="135"/>
        <v>9162402</v>
      </c>
      <c r="L302" s="46">
        <f t="shared" si="135"/>
        <v>0</v>
      </c>
      <c r="M302" s="46">
        <f t="shared" si="135"/>
        <v>0</v>
      </c>
      <c r="N302" s="46">
        <f t="shared" si="135"/>
        <v>0</v>
      </c>
      <c r="O302" s="46">
        <f t="shared" si="135"/>
        <v>0</v>
      </c>
      <c r="P302" s="46">
        <f t="shared" si="135"/>
        <v>0</v>
      </c>
      <c r="Q302" s="74"/>
      <c r="R302" s="74"/>
      <c r="S302" s="49"/>
      <c r="T302" s="49"/>
      <c r="U302" s="49"/>
    </row>
    <row r="303" spans="1:21" s="50" customFormat="1" ht="14.85" customHeight="1">
      <c r="A303" s="885">
        <v>85395</v>
      </c>
      <c r="B303" s="888" t="s">
        <v>51</v>
      </c>
      <c r="C303" s="81" t="s">
        <v>13</v>
      </c>
      <c r="D303" s="45">
        <f>E303+M303</f>
        <v>5812706</v>
      </c>
      <c r="E303" s="46">
        <f>F303+I303+J303+K303+L303</f>
        <v>5812706</v>
      </c>
      <c r="F303" s="46">
        <f>G303+H303</f>
        <v>171500</v>
      </c>
      <c r="G303" s="46">
        <v>0</v>
      </c>
      <c r="H303" s="46">
        <f>21000+12000+138500</f>
        <v>171500</v>
      </c>
      <c r="I303" s="46">
        <v>100000</v>
      </c>
      <c r="J303" s="46">
        <v>0</v>
      </c>
      <c r="K303" s="46">
        <v>5541206</v>
      </c>
      <c r="L303" s="46">
        <v>0</v>
      </c>
      <c r="M303" s="46">
        <f>N303+P303</f>
        <v>0</v>
      </c>
      <c r="N303" s="46">
        <v>0</v>
      </c>
      <c r="O303" s="46">
        <v>0</v>
      </c>
      <c r="P303" s="46">
        <v>0</v>
      </c>
      <c r="Q303" s="74"/>
      <c r="R303" s="74"/>
      <c r="S303" s="49"/>
      <c r="T303" s="49"/>
      <c r="U303" s="49"/>
    </row>
    <row r="304" spans="1:21" s="50" customFormat="1" ht="14.85" customHeight="1">
      <c r="A304" s="886"/>
      <c r="B304" s="889"/>
      <c r="C304" s="81" t="s">
        <v>14</v>
      </c>
      <c r="D304" s="45">
        <f>E304+M304</f>
        <v>4469016</v>
      </c>
      <c r="E304" s="46">
        <f>F304+I304+J304+K304+L304</f>
        <v>4469016</v>
      </c>
      <c r="F304" s="46">
        <f>G304+H304</f>
        <v>0</v>
      </c>
      <c r="G304" s="46"/>
      <c r="H304" s="46"/>
      <c r="I304" s="46"/>
      <c r="J304" s="46"/>
      <c r="K304" s="46">
        <v>4469016</v>
      </c>
      <c r="L304" s="46"/>
      <c r="M304" s="46">
        <f>N304+P304</f>
        <v>0</v>
      </c>
      <c r="N304" s="46"/>
      <c r="O304" s="46"/>
      <c r="P304" s="46"/>
      <c r="Q304" s="74"/>
      <c r="R304" s="74"/>
      <c r="S304" s="49"/>
      <c r="T304" s="49"/>
      <c r="U304" s="49"/>
    </row>
    <row r="305" spans="1:21" s="50" customFormat="1" ht="14.85" customHeight="1">
      <c r="A305" s="887"/>
      <c r="B305" s="890"/>
      <c r="C305" s="81" t="s">
        <v>15</v>
      </c>
      <c r="D305" s="45">
        <f>D303+D304</f>
        <v>10281722</v>
      </c>
      <c r="E305" s="46">
        <f t="shared" ref="E305:P305" si="136">E303+E304</f>
        <v>10281722</v>
      </c>
      <c r="F305" s="46">
        <f t="shared" si="136"/>
        <v>171500</v>
      </c>
      <c r="G305" s="46">
        <f t="shared" si="136"/>
        <v>0</v>
      </c>
      <c r="H305" s="46">
        <f t="shared" si="136"/>
        <v>171500</v>
      </c>
      <c r="I305" s="46">
        <f t="shared" si="136"/>
        <v>100000</v>
      </c>
      <c r="J305" s="46">
        <f t="shared" si="136"/>
        <v>0</v>
      </c>
      <c r="K305" s="46">
        <f t="shared" si="136"/>
        <v>10010222</v>
      </c>
      <c r="L305" s="46">
        <f t="shared" si="136"/>
        <v>0</v>
      </c>
      <c r="M305" s="46">
        <f t="shared" si="136"/>
        <v>0</v>
      </c>
      <c r="N305" s="46">
        <f t="shared" si="136"/>
        <v>0</v>
      </c>
      <c r="O305" s="46">
        <f t="shared" si="136"/>
        <v>0</v>
      </c>
      <c r="P305" s="46">
        <f t="shared" si="136"/>
        <v>0</v>
      </c>
      <c r="Q305" s="74"/>
      <c r="R305" s="74"/>
      <c r="S305" s="49"/>
      <c r="T305" s="49"/>
      <c r="U305" s="49"/>
    </row>
    <row r="306" spans="1:21" s="28" customFormat="1" ht="14.85" customHeight="1">
      <c r="A306" s="877">
        <v>854</v>
      </c>
      <c r="B306" s="880" t="s">
        <v>168</v>
      </c>
      <c r="C306" s="80" t="s">
        <v>13</v>
      </c>
      <c r="D306" s="43">
        <f t="shared" ref="D306:P307" si="137">D309+D315+D318+D321+D327+D330+D312+D324</f>
        <v>50568776</v>
      </c>
      <c r="E306" s="44">
        <f t="shared" si="137"/>
        <v>33166192</v>
      </c>
      <c r="F306" s="44">
        <f t="shared" si="137"/>
        <v>27488480</v>
      </c>
      <c r="G306" s="44">
        <f t="shared" si="137"/>
        <v>23742581</v>
      </c>
      <c r="H306" s="44">
        <f t="shared" si="137"/>
        <v>3745899</v>
      </c>
      <c r="I306" s="44">
        <f t="shared" si="137"/>
        <v>287000</v>
      </c>
      <c r="J306" s="44">
        <f t="shared" si="137"/>
        <v>110072</v>
      </c>
      <c r="K306" s="44">
        <f t="shared" si="137"/>
        <v>5280640</v>
      </c>
      <c r="L306" s="44">
        <f t="shared" si="137"/>
        <v>0</v>
      </c>
      <c r="M306" s="44">
        <f t="shared" si="137"/>
        <v>17402584</v>
      </c>
      <c r="N306" s="44">
        <f t="shared" si="137"/>
        <v>17402584</v>
      </c>
      <c r="O306" s="44">
        <f t="shared" si="137"/>
        <v>10306117</v>
      </c>
      <c r="P306" s="44">
        <f t="shared" si="137"/>
        <v>0</v>
      </c>
      <c r="Q306" s="69"/>
      <c r="R306" s="69"/>
      <c r="S306" s="34"/>
      <c r="T306" s="34"/>
      <c r="U306" s="34"/>
    </row>
    <row r="307" spans="1:21" s="28" customFormat="1" ht="14.85" customHeight="1">
      <c r="A307" s="878"/>
      <c r="B307" s="881"/>
      <c r="C307" s="80" t="s">
        <v>14</v>
      </c>
      <c r="D307" s="43">
        <f t="shared" si="137"/>
        <v>-1753444</v>
      </c>
      <c r="E307" s="44">
        <f t="shared" si="137"/>
        <v>116773</v>
      </c>
      <c r="F307" s="44">
        <f t="shared" si="137"/>
        <v>0</v>
      </c>
      <c r="G307" s="44">
        <f t="shared" si="137"/>
        <v>0</v>
      </c>
      <c r="H307" s="44">
        <f t="shared" si="137"/>
        <v>0</v>
      </c>
      <c r="I307" s="44">
        <f t="shared" si="137"/>
        <v>0</v>
      </c>
      <c r="J307" s="44">
        <f t="shared" si="137"/>
        <v>0</v>
      </c>
      <c r="K307" s="44">
        <f t="shared" si="137"/>
        <v>116773</v>
      </c>
      <c r="L307" s="44">
        <f t="shared" si="137"/>
        <v>0</v>
      </c>
      <c r="M307" s="44">
        <f t="shared" si="137"/>
        <v>-1870217</v>
      </c>
      <c r="N307" s="44">
        <f t="shared" si="137"/>
        <v>-1870217</v>
      </c>
      <c r="O307" s="44">
        <f t="shared" si="137"/>
        <v>-2058391</v>
      </c>
      <c r="P307" s="44">
        <f t="shared" si="137"/>
        <v>0</v>
      </c>
      <c r="Q307" s="69"/>
      <c r="R307" s="69"/>
      <c r="S307" s="34"/>
      <c r="T307" s="34"/>
      <c r="U307" s="34"/>
    </row>
    <row r="308" spans="1:21" s="28" customFormat="1" ht="14.85" customHeight="1">
      <c r="A308" s="879"/>
      <c r="B308" s="882"/>
      <c r="C308" s="80" t="s">
        <v>15</v>
      </c>
      <c r="D308" s="43">
        <f>D306+D307</f>
        <v>48815332</v>
      </c>
      <c r="E308" s="44">
        <f t="shared" ref="E308:P308" si="138">E306+E307</f>
        <v>33282965</v>
      </c>
      <c r="F308" s="44">
        <f t="shared" si="138"/>
        <v>27488480</v>
      </c>
      <c r="G308" s="44">
        <f t="shared" si="138"/>
        <v>23742581</v>
      </c>
      <c r="H308" s="44">
        <f t="shared" si="138"/>
        <v>3745899</v>
      </c>
      <c r="I308" s="44">
        <f t="shared" si="138"/>
        <v>287000</v>
      </c>
      <c r="J308" s="44">
        <f t="shared" si="138"/>
        <v>110072</v>
      </c>
      <c r="K308" s="44">
        <f t="shared" si="138"/>
        <v>5397413</v>
      </c>
      <c r="L308" s="44">
        <f t="shared" si="138"/>
        <v>0</v>
      </c>
      <c r="M308" s="44">
        <f t="shared" si="138"/>
        <v>15532367</v>
      </c>
      <c r="N308" s="44">
        <f t="shared" si="138"/>
        <v>15532367</v>
      </c>
      <c r="O308" s="44">
        <f t="shared" si="138"/>
        <v>8247726</v>
      </c>
      <c r="P308" s="44">
        <f t="shared" si="138"/>
        <v>0</v>
      </c>
      <c r="Q308" s="69"/>
      <c r="R308" s="69"/>
      <c r="S308" s="34"/>
      <c r="T308" s="34"/>
      <c r="U308" s="34"/>
    </row>
    <row r="309" spans="1:21" s="50" customFormat="1" ht="14.85" customHeight="1">
      <c r="A309" s="885">
        <v>85403</v>
      </c>
      <c r="B309" s="888" t="s">
        <v>169</v>
      </c>
      <c r="C309" s="81" t="s">
        <v>13</v>
      </c>
      <c r="D309" s="45">
        <f t="shared" ref="D309:D331" si="139">E309+M309</f>
        <v>38072852</v>
      </c>
      <c r="E309" s="46">
        <f t="shared" ref="E309:E331" si="140">F309+I309+J309+K309+L309</f>
        <v>20670268</v>
      </c>
      <c r="F309" s="46">
        <f t="shared" ref="F309:F331" si="141">G309+H309</f>
        <v>19915039</v>
      </c>
      <c r="G309" s="46">
        <v>17047783</v>
      </c>
      <c r="H309" s="46">
        <f>473950+508960+21500+393000+234000+8300+699292+16300+1500+2600+33000+464892+220+1500+242+8000</f>
        <v>2867256</v>
      </c>
      <c r="I309" s="46">
        <v>0</v>
      </c>
      <c r="J309" s="46">
        <v>58439</v>
      </c>
      <c r="K309" s="46">
        <f>159115+51511+23833+6061+31262+9785+4465+1400+5525+975+10702+2096+301001+89059</f>
        <v>696790</v>
      </c>
      <c r="L309" s="46">
        <v>0</v>
      </c>
      <c r="M309" s="46">
        <f t="shared" ref="M309:M331" si="142">N309+P309</f>
        <v>17402584</v>
      </c>
      <c r="N309" s="46">
        <v>17402584</v>
      </c>
      <c r="O309" s="46">
        <f>8215319+2090798</f>
        <v>10306117</v>
      </c>
      <c r="P309" s="46">
        <v>0</v>
      </c>
      <c r="Q309" s="74"/>
      <c r="R309" s="74"/>
      <c r="S309" s="49"/>
      <c r="T309" s="49"/>
      <c r="U309" s="49"/>
    </row>
    <row r="310" spans="1:21" s="50" customFormat="1" ht="14.85" customHeight="1">
      <c r="A310" s="886"/>
      <c r="B310" s="889"/>
      <c r="C310" s="81" t="s">
        <v>14</v>
      </c>
      <c r="D310" s="45">
        <f t="shared" si="139"/>
        <v>-1763444</v>
      </c>
      <c r="E310" s="46">
        <f t="shared" si="140"/>
        <v>106773</v>
      </c>
      <c r="F310" s="46">
        <f t="shared" si="141"/>
        <v>0</v>
      </c>
      <c r="G310" s="46"/>
      <c r="H310" s="46"/>
      <c r="I310" s="46"/>
      <c r="J310" s="46"/>
      <c r="K310" s="46">
        <f>312848-188174-4461-2642-9002-1796</f>
        <v>106773</v>
      </c>
      <c r="L310" s="46"/>
      <c r="M310" s="46">
        <f t="shared" si="142"/>
        <v>-1870217</v>
      </c>
      <c r="N310" s="46">
        <f>188174-1749325-309066</f>
        <v>-1870217</v>
      </c>
      <c r="O310" s="46">
        <f>-1749325-309066</f>
        <v>-2058391</v>
      </c>
      <c r="P310" s="46"/>
      <c r="Q310" s="74"/>
      <c r="R310" s="74"/>
      <c r="S310" s="49"/>
      <c r="T310" s="49"/>
      <c r="U310" s="49"/>
    </row>
    <row r="311" spans="1:21" s="50" customFormat="1" ht="14.85" customHeight="1">
      <c r="A311" s="887"/>
      <c r="B311" s="890"/>
      <c r="C311" s="81" t="s">
        <v>15</v>
      </c>
      <c r="D311" s="45">
        <f>D309+D310</f>
        <v>36309408</v>
      </c>
      <c r="E311" s="46">
        <f t="shared" ref="E311:P311" si="143">E309+E310</f>
        <v>20777041</v>
      </c>
      <c r="F311" s="46">
        <f t="shared" si="143"/>
        <v>19915039</v>
      </c>
      <c r="G311" s="46">
        <f t="shared" si="143"/>
        <v>17047783</v>
      </c>
      <c r="H311" s="46">
        <f t="shared" si="143"/>
        <v>2867256</v>
      </c>
      <c r="I311" s="46">
        <f t="shared" si="143"/>
        <v>0</v>
      </c>
      <c r="J311" s="46">
        <f t="shared" si="143"/>
        <v>58439</v>
      </c>
      <c r="K311" s="46">
        <f t="shared" si="143"/>
        <v>803563</v>
      </c>
      <c r="L311" s="46">
        <f t="shared" si="143"/>
        <v>0</v>
      </c>
      <c r="M311" s="46">
        <f t="shared" si="143"/>
        <v>15532367</v>
      </c>
      <c r="N311" s="46">
        <f t="shared" si="143"/>
        <v>15532367</v>
      </c>
      <c r="O311" s="46">
        <f t="shared" si="143"/>
        <v>8247726</v>
      </c>
      <c r="P311" s="46">
        <f t="shared" si="143"/>
        <v>0</v>
      </c>
      <c r="Q311" s="74"/>
      <c r="R311" s="74"/>
      <c r="S311" s="49"/>
      <c r="T311" s="49"/>
      <c r="U311" s="49"/>
    </row>
    <row r="312" spans="1:21" s="50" customFormat="1" ht="13.5" hidden="1" customHeight="1">
      <c r="A312" s="885">
        <v>85404</v>
      </c>
      <c r="B312" s="888" t="s">
        <v>170</v>
      </c>
      <c r="C312" s="81" t="s">
        <v>13</v>
      </c>
      <c r="D312" s="45">
        <f t="shared" si="139"/>
        <v>1781146</v>
      </c>
      <c r="E312" s="46">
        <f t="shared" si="140"/>
        <v>1781146</v>
      </c>
      <c r="F312" s="46">
        <f t="shared" si="141"/>
        <v>1778876</v>
      </c>
      <c r="G312" s="46">
        <v>1666396</v>
      </c>
      <c r="H312" s="46">
        <f>9000+14000+25000+2500+500+13000+200+800+800+46180+500</f>
        <v>112480</v>
      </c>
      <c r="I312" s="46">
        <v>0</v>
      </c>
      <c r="J312" s="46">
        <v>2270</v>
      </c>
      <c r="K312" s="46">
        <v>0</v>
      </c>
      <c r="L312" s="46">
        <v>0</v>
      </c>
      <c r="M312" s="46">
        <f t="shared" si="142"/>
        <v>0</v>
      </c>
      <c r="N312" s="46">
        <v>0</v>
      </c>
      <c r="O312" s="46">
        <v>0</v>
      </c>
      <c r="P312" s="46">
        <v>0</v>
      </c>
      <c r="Q312" s="74"/>
      <c r="R312" s="74"/>
      <c r="S312" s="49"/>
      <c r="T312" s="49"/>
      <c r="U312" s="49"/>
    </row>
    <row r="313" spans="1:21" s="50" customFormat="1" ht="13.5" hidden="1" customHeight="1">
      <c r="A313" s="886"/>
      <c r="B313" s="889"/>
      <c r="C313" s="81" t="s">
        <v>14</v>
      </c>
      <c r="D313" s="45">
        <f t="shared" si="139"/>
        <v>0</v>
      </c>
      <c r="E313" s="46">
        <f t="shared" si="140"/>
        <v>0</v>
      </c>
      <c r="F313" s="46">
        <f t="shared" si="141"/>
        <v>0</v>
      </c>
      <c r="G313" s="46"/>
      <c r="H313" s="46"/>
      <c r="I313" s="46"/>
      <c r="J313" s="46"/>
      <c r="K313" s="46"/>
      <c r="L313" s="46"/>
      <c r="M313" s="46">
        <f t="shared" si="142"/>
        <v>0</v>
      </c>
      <c r="N313" s="46"/>
      <c r="O313" s="46"/>
      <c r="P313" s="46"/>
      <c r="Q313" s="74"/>
      <c r="R313" s="74"/>
      <c r="S313" s="49"/>
      <c r="T313" s="49"/>
      <c r="U313" s="49"/>
    </row>
    <row r="314" spans="1:21" s="50" customFormat="1" ht="13.5" hidden="1" customHeight="1">
      <c r="A314" s="887"/>
      <c r="B314" s="890"/>
      <c r="C314" s="81" t="s">
        <v>15</v>
      </c>
      <c r="D314" s="45">
        <f>D312+D313</f>
        <v>1781146</v>
      </c>
      <c r="E314" s="46">
        <f t="shared" ref="E314:P314" si="144">E312+E313</f>
        <v>1781146</v>
      </c>
      <c r="F314" s="46">
        <f t="shared" si="144"/>
        <v>1778876</v>
      </c>
      <c r="G314" s="46">
        <f t="shared" si="144"/>
        <v>1666396</v>
      </c>
      <c r="H314" s="46">
        <f t="shared" si="144"/>
        <v>112480</v>
      </c>
      <c r="I314" s="46">
        <f t="shared" si="144"/>
        <v>0</v>
      </c>
      <c r="J314" s="46">
        <f t="shared" si="144"/>
        <v>2270</v>
      </c>
      <c r="K314" s="46">
        <f t="shared" si="144"/>
        <v>0</v>
      </c>
      <c r="L314" s="46">
        <f t="shared" si="144"/>
        <v>0</v>
      </c>
      <c r="M314" s="46">
        <f t="shared" si="142"/>
        <v>0</v>
      </c>
      <c r="N314" s="46">
        <f t="shared" si="144"/>
        <v>0</v>
      </c>
      <c r="O314" s="46">
        <f t="shared" si="144"/>
        <v>0</v>
      </c>
      <c r="P314" s="46">
        <f t="shared" si="144"/>
        <v>0</v>
      </c>
      <c r="Q314" s="74"/>
      <c r="R314" s="74"/>
      <c r="S314" s="49"/>
      <c r="T314" s="49"/>
      <c r="U314" s="49"/>
    </row>
    <row r="315" spans="1:21" s="50" customFormat="1" ht="13.5" hidden="1" customHeight="1">
      <c r="A315" s="885">
        <v>85407</v>
      </c>
      <c r="B315" s="888" t="s">
        <v>171</v>
      </c>
      <c r="C315" s="81" t="s">
        <v>13</v>
      </c>
      <c r="D315" s="45">
        <f t="shared" si="139"/>
        <v>3955332</v>
      </c>
      <c r="E315" s="46">
        <f t="shared" si="140"/>
        <v>3955332</v>
      </c>
      <c r="F315" s="46">
        <f t="shared" si="141"/>
        <v>3944469</v>
      </c>
      <c r="G315" s="46">
        <v>3804261</v>
      </c>
      <c r="H315" s="46">
        <f>10978+13604+3106+860+829+486+1691+106654+2000</f>
        <v>140208</v>
      </c>
      <c r="I315" s="46">
        <v>0</v>
      </c>
      <c r="J315" s="46">
        <v>10863</v>
      </c>
      <c r="K315" s="46">
        <v>0</v>
      </c>
      <c r="L315" s="46">
        <v>0</v>
      </c>
      <c r="M315" s="46">
        <f t="shared" si="142"/>
        <v>0</v>
      </c>
      <c r="N315" s="46">
        <v>0</v>
      </c>
      <c r="O315" s="46">
        <v>0</v>
      </c>
      <c r="P315" s="46">
        <v>0</v>
      </c>
      <c r="Q315" s="74"/>
      <c r="R315" s="74"/>
      <c r="S315" s="49"/>
      <c r="T315" s="49"/>
      <c r="U315" s="49"/>
    </row>
    <row r="316" spans="1:21" s="50" customFormat="1" ht="13.5" hidden="1" customHeight="1">
      <c r="A316" s="886"/>
      <c r="B316" s="889"/>
      <c r="C316" s="81" t="s">
        <v>14</v>
      </c>
      <c r="D316" s="45">
        <f t="shared" si="139"/>
        <v>0</v>
      </c>
      <c r="E316" s="46">
        <f t="shared" si="140"/>
        <v>0</v>
      </c>
      <c r="F316" s="46">
        <f t="shared" si="141"/>
        <v>0</v>
      </c>
      <c r="G316" s="46"/>
      <c r="H316" s="46"/>
      <c r="I316" s="46"/>
      <c r="J316" s="46"/>
      <c r="K316" s="46"/>
      <c r="L316" s="46"/>
      <c r="M316" s="46">
        <f t="shared" si="142"/>
        <v>0</v>
      </c>
      <c r="N316" s="46"/>
      <c r="O316" s="46"/>
      <c r="P316" s="46"/>
      <c r="Q316" s="74"/>
      <c r="R316" s="74"/>
      <c r="S316" s="49"/>
      <c r="T316" s="49"/>
      <c r="U316" s="49"/>
    </row>
    <row r="317" spans="1:21" s="50" customFormat="1" ht="13.5" hidden="1" customHeight="1">
      <c r="A317" s="887"/>
      <c r="B317" s="890"/>
      <c r="C317" s="81" t="s">
        <v>15</v>
      </c>
      <c r="D317" s="45">
        <f>D315+D316</f>
        <v>3955332</v>
      </c>
      <c r="E317" s="46">
        <f t="shared" ref="E317:P317" si="145">E315+E316</f>
        <v>3955332</v>
      </c>
      <c r="F317" s="46">
        <f t="shared" si="145"/>
        <v>3944469</v>
      </c>
      <c r="G317" s="46">
        <f t="shared" si="145"/>
        <v>3804261</v>
      </c>
      <c r="H317" s="46">
        <f t="shared" si="145"/>
        <v>140208</v>
      </c>
      <c r="I317" s="46">
        <f t="shared" si="145"/>
        <v>0</v>
      </c>
      <c r="J317" s="46">
        <f t="shared" si="145"/>
        <v>10863</v>
      </c>
      <c r="K317" s="46">
        <f t="shared" si="145"/>
        <v>0</v>
      </c>
      <c r="L317" s="46">
        <f t="shared" si="145"/>
        <v>0</v>
      </c>
      <c r="M317" s="46">
        <f t="shared" si="145"/>
        <v>0</v>
      </c>
      <c r="N317" s="46">
        <f t="shared" si="145"/>
        <v>0</v>
      </c>
      <c r="O317" s="46">
        <f t="shared" si="145"/>
        <v>0</v>
      </c>
      <c r="P317" s="46">
        <f t="shared" si="145"/>
        <v>0</v>
      </c>
      <c r="Q317" s="74"/>
      <c r="R317" s="74"/>
      <c r="S317" s="49"/>
      <c r="T317" s="49"/>
      <c r="U317" s="49"/>
    </row>
    <row r="318" spans="1:21" s="50" customFormat="1" ht="13.5" hidden="1" customHeight="1">
      <c r="A318" s="885">
        <v>85410</v>
      </c>
      <c r="B318" s="888" t="s">
        <v>172</v>
      </c>
      <c r="C318" s="81" t="s">
        <v>13</v>
      </c>
      <c r="D318" s="45">
        <f t="shared" si="139"/>
        <v>1513427</v>
      </c>
      <c r="E318" s="46">
        <f t="shared" si="140"/>
        <v>1513427</v>
      </c>
      <c r="F318" s="46">
        <f t="shared" si="141"/>
        <v>1510927</v>
      </c>
      <c r="G318" s="46">
        <v>1224141</v>
      </c>
      <c r="H318" s="46">
        <f>180000+27500+1600+400+20000+1500+42054+13232+500</f>
        <v>286786</v>
      </c>
      <c r="I318" s="46">
        <v>0</v>
      </c>
      <c r="J318" s="46">
        <v>2500</v>
      </c>
      <c r="K318" s="46">
        <v>0</v>
      </c>
      <c r="L318" s="46">
        <v>0</v>
      </c>
      <c r="M318" s="46">
        <f t="shared" si="142"/>
        <v>0</v>
      </c>
      <c r="N318" s="46">
        <v>0</v>
      </c>
      <c r="O318" s="46">
        <v>0</v>
      </c>
      <c r="P318" s="46">
        <v>0</v>
      </c>
      <c r="Q318" s="74"/>
      <c r="R318" s="74"/>
      <c r="S318" s="49"/>
      <c r="T318" s="49"/>
      <c r="U318" s="49"/>
    </row>
    <row r="319" spans="1:21" s="50" customFormat="1" ht="13.5" hidden="1" customHeight="1">
      <c r="A319" s="886"/>
      <c r="B319" s="889"/>
      <c r="C319" s="81" t="s">
        <v>14</v>
      </c>
      <c r="D319" s="45">
        <f t="shared" si="139"/>
        <v>0</v>
      </c>
      <c r="E319" s="46">
        <f t="shared" si="140"/>
        <v>0</v>
      </c>
      <c r="F319" s="46">
        <f t="shared" si="141"/>
        <v>0</v>
      </c>
      <c r="G319" s="46"/>
      <c r="H319" s="46"/>
      <c r="I319" s="46"/>
      <c r="J319" s="46"/>
      <c r="K319" s="46"/>
      <c r="L319" s="46"/>
      <c r="M319" s="46">
        <f t="shared" si="142"/>
        <v>0</v>
      </c>
      <c r="N319" s="46"/>
      <c r="O319" s="46"/>
      <c r="P319" s="46"/>
      <c r="Q319" s="74"/>
      <c r="R319" s="74"/>
      <c r="S319" s="49"/>
      <c r="T319" s="49"/>
      <c r="U319" s="49"/>
    </row>
    <row r="320" spans="1:21" s="50" customFormat="1" ht="13.5" hidden="1" customHeight="1">
      <c r="A320" s="887"/>
      <c r="B320" s="890"/>
      <c r="C320" s="81" t="s">
        <v>15</v>
      </c>
      <c r="D320" s="45">
        <f>D318+D319</f>
        <v>1513427</v>
      </c>
      <c r="E320" s="46">
        <f t="shared" ref="E320:P320" si="146">E318+E319</f>
        <v>1513427</v>
      </c>
      <c r="F320" s="46">
        <f t="shared" si="146"/>
        <v>1510927</v>
      </c>
      <c r="G320" s="46">
        <f t="shared" si="146"/>
        <v>1224141</v>
      </c>
      <c r="H320" s="46">
        <f t="shared" si="146"/>
        <v>286786</v>
      </c>
      <c r="I320" s="46">
        <f t="shared" si="146"/>
        <v>0</v>
      </c>
      <c r="J320" s="46">
        <f t="shared" si="146"/>
        <v>2500</v>
      </c>
      <c r="K320" s="46">
        <f t="shared" si="146"/>
        <v>0</v>
      </c>
      <c r="L320" s="46">
        <f t="shared" si="146"/>
        <v>0</v>
      </c>
      <c r="M320" s="46">
        <f t="shared" si="146"/>
        <v>0</v>
      </c>
      <c r="N320" s="46">
        <f t="shared" si="146"/>
        <v>0</v>
      </c>
      <c r="O320" s="46">
        <f t="shared" si="146"/>
        <v>0</v>
      </c>
      <c r="P320" s="46">
        <f t="shared" si="146"/>
        <v>0</v>
      </c>
      <c r="Q320" s="74"/>
      <c r="R320" s="74"/>
      <c r="S320" s="49"/>
      <c r="T320" s="49"/>
      <c r="U320" s="49"/>
    </row>
    <row r="321" spans="1:21" s="26" customFormat="1" hidden="1">
      <c r="A321" s="885">
        <v>85415</v>
      </c>
      <c r="B321" s="888" t="s">
        <v>193</v>
      </c>
      <c r="C321" s="81" t="s">
        <v>13</v>
      </c>
      <c r="D321" s="45">
        <f t="shared" si="139"/>
        <v>207000</v>
      </c>
      <c r="E321" s="46">
        <f t="shared" si="140"/>
        <v>207000</v>
      </c>
      <c r="F321" s="46">
        <f t="shared" si="141"/>
        <v>0</v>
      </c>
      <c r="G321" s="46">
        <v>0</v>
      </c>
      <c r="H321" s="46">
        <v>0</v>
      </c>
      <c r="I321" s="46">
        <v>207000</v>
      </c>
      <c r="J321" s="46">
        <v>0</v>
      </c>
      <c r="K321" s="46">
        <v>0</v>
      </c>
      <c r="L321" s="46">
        <v>0</v>
      </c>
      <c r="M321" s="46">
        <f t="shared" si="142"/>
        <v>0</v>
      </c>
      <c r="N321" s="46">
        <v>0</v>
      </c>
      <c r="O321" s="46">
        <v>0</v>
      </c>
      <c r="P321" s="46">
        <v>0</v>
      </c>
      <c r="Q321" s="56"/>
      <c r="R321" s="56"/>
      <c r="S321" s="32"/>
      <c r="T321" s="32"/>
      <c r="U321" s="32"/>
    </row>
    <row r="322" spans="1:21" s="26" customFormat="1" hidden="1">
      <c r="A322" s="886"/>
      <c r="B322" s="889"/>
      <c r="C322" s="81" t="s">
        <v>14</v>
      </c>
      <c r="D322" s="45">
        <f t="shared" si="139"/>
        <v>0</v>
      </c>
      <c r="E322" s="46">
        <f t="shared" si="140"/>
        <v>0</v>
      </c>
      <c r="F322" s="46">
        <f t="shared" si="141"/>
        <v>0</v>
      </c>
      <c r="G322" s="46"/>
      <c r="H322" s="46"/>
      <c r="I322" s="46"/>
      <c r="J322" s="46"/>
      <c r="K322" s="46"/>
      <c r="L322" s="46"/>
      <c r="M322" s="46">
        <f t="shared" si="142"/>
        <v>0</v>
      </c>
      <c r="N322" s="46"/>
      <c r="O322" s="46"/>
      <c r="P322" s="46"/>
      <c r="Q322" s="56"/>
      <c r="R322" s="56"/>
      <c r="S322" s="32"/>
      <c r="T322" s="32"/>
      <c r="U322" s="32"/>
    </row>
    <row r="323" spans="1:21" s="26" customFormat="1" hidden="1">
      <c r="A323" s="887"/>
      <c r="B323" s="890"/>
      <c r="C323" s="81" t="s">
        <v>15</v>
      </c>
      <c r="D323" s="45">
        <f>D321+D322</f>
        <v>207000</v>
      </c>
      <c r="E323" s="46">
        <f t="shared" ref="E323:P323" si="147">E321+E322</f>
        <v>207000</v>
      </c>
      <c r="F323" s="46">
        <f t="shared" si="147"/>
        <v>0</v>
      </c>
      <c r="G323" s="46">
        <f t="shared" si="147"/>
        <v>0</v>
      </c>
      <c r="H323" s="46">
        <f t="shared" si="147"/>
        <v>0</v>
      </c>
      <c r="I323" s="46">
        <f t="shared" si="147"/>
        <v>207000</v>
      </c>
      <c r="J323" s="46">
        <f t="shared" si="147"/>
        <v>0</v>
      </c>
      <c r="K323" s="46">
        <f t="shared" si="147"/>
        <v>0</v>
      </c>
      <c r="L323" s="46">
        <f t="shared" si="147"/>
        <v>0</v>
      </c>
      <c r="M323" s="46">
        <f t="shared" si="147"/>
        <v>0</v>
      </c>
      <c r="N323" s="46">
        <f t="shared" si="147"/>
        <v>0</v>
      </c>
      <c r="O323" s="46">
        <f t="shared" si="147"/>
        <v>0</v>
      </c>
      <c r="P323" s="46">
        <f t="shared" si="147"/>
        <v>0</v>
      </c>
      <c r="Q323" s="56"/>
      <c r="R323" s="56"/>
      <c r="S323" s="32"/>
      <c r="T323" s="32"/>
      <c r="U323" s="32"/>
    </row>
    <row r="324" spans="1:21" s="26" customFormat="1" ht="14.85" customHeight="1">
      <c r="A324" s="885">
        <v>85416</v>
      </c>
      <c r="B324" s="888" t="s">
        <v>173</v>
      </c>
      <c r="C324" s="81" t="s">
        <v>13</v>
      </c>
      <c r="D324" s="45">
        <f t="shared" si="139"/>
        <v>4583850</v>
      </c>
      <c r="E324" s="46">
        <f t="shared" si="140"/>
        <v>4583850</v>
      </c>
      <c r="F324" s="46">
        <f t="shared" si="141"/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4583850</v>
      </c>
      <c r="L324" s="46">
        <v>0</v>
      </c>
      <c r="M324" s="46">
        <f t="shared" si="142"/>
        <v>0</v>
      </c>
      <c r="N324" s="46">
        <v>0</v>
      </c>
      <c r="O324" s="46">
        <v>0</v>
      </c>
      <c r="P324" s="46">
        <v>0</v>
      </c>
      <c r="Q324" s="56"/>
      <c r="R324" s="56"/>
      <c r="S324" s="32"/>
      <c r="T324" s="32"/>
      <c r="U324" s="32"/>
    </row>
    <row r="325" spans="1:21" s="26" customFormat="1" ht="14.85" customHeight="1">
      <c r="A325" s="886"/>
      <c r="B325" s="889"/>
      <c r="C325" s="81" t="s">
        <v>14</v>
      </c>
      <c r="D325" s="45">
        <f t="shared" si="139"/>
        <v>10000</v>
      </c>
      <c r="E325" s="46">
        <f t="shared" si="140"/>
        <v>10000</v>
      </c>
      <c r="F325" s="46">
        <f t="shared" si="141"/>
        <v>0</v>
      </c>
      <c r="G325" s="46"/>
      <c r="H325" s="46"/>
      <c r="I325" s="46"/>
      <c r="J325" s="46"/>
      <c r="K325" s="46">
        <v>10000</v>
      </c>
      <c r="L325" s="46"/>
      <c r="M325" s="46">
        <f t="shared" si="142"/>
        <v>0</v>
      </c>
      <c r="N325" s="46"/>
      <c r="O325" s="46"/>
      <c r="P325" s="46"/>
      <c r="Q325" s="56"/>
      <c r="R325" s="56"/>
      <c r="S325" s="32"/>
      <c r="T325" s="32"/>
      <c r="U325" s="32"/>
    </row>
    <row r="326" spans="1:21" s="26" customFormat="1" ht="14.85" customHeight="1">
      <c r="A326" s="887"/>
      <c r="B326" s="890"/>
      <c r="C326" s="81" t="s">
        <v>15</v>
      </c>
      <c r="D326" s="45">
        <f>D324+D325</f>
        <v>4593850</v>
      </c>
      <c r="E326" s="46">
        <f t="shared" ref="E326:P326" si="148">E324+E325</f>
        <v>4593850</v>
      </c>
      <c r="F326" s="46">
        <f t="shared" si="148"/>
        <v>0</v>
      </c>
      <c r="G326" s="46">
        <f t="shared" si="148"/>
        <v>0</v>
      </c>
      <c r="H326" s="46">
        <f t="shared" si="148"/>
        <v>0</v>
      </c>
      <c r="I326" s="46">
        <f t="shared" si="148"/>
        <v>0</v>
      </c>
      <c r="J326" s="46">
        <f t="shared" si="148"/>
        <v>0</v>
      </c>
      <c r="K326" s="46">
        <f t="shared" si="148"/>
        <v>4593850</v>
      </c>
      <c r="L326" s="46">
        <f t="shared" si="148"/>
        <v>0</v>
      </c>
      <c r="M326" s="46">
        <f t="shared" si="148"/>
        <v>0</v>
      </c>
      <c r="N326" s="46">
        <f t="shared" si="148"/>
        <v>0</v>
      </c>
      <c r="O326" s="46">
        <f t="shared" si="148"/>
        <v>0</v>
      </c>
      <c r="P326" s="46">
        <f t="shared" si="148"/>
        <v>0</v>
      </c>
      <c r="Q326" s="56"/>
      <c r="R326" s="56"/>
      <c r="S326" s="32"/>
      <c r="T326" s="32"/>
      <c r="U326" s="32"/>
    </row>
    <row r="327" spans="1:21" s="50" customFormat="1" ht="13.5" hidden="1" customHeight="1">
      <c r="A327" s="885">
        <v>85446</v>
      </c>
      <c r="B327" s="888" t="s">
        <v>151</v>
      </c>
      <c r="C327" s="81" t="s">
        <v>13</v>
      </c>
      <c r="D327" s="45">
        <f t="shared" si="139"/>
        <v>100000</v>
      </c>
      <c r="E327" s="46">
        <f t="shared" si="140"/>
        <v>100000</v>
      </c>
      <c r="F327" s="46">
        <f t="shared" si="141"/>
        <v>100000</v>
      </c>
      <c r="G327" s="46">
        <v>0</v>
      </c>
      <c r="H327" s="46">
        <v>100000</v>
      </c>
      <c r="I327" s="46">
        <v>0</v>
      </c>
      <c r="J327" s="46">
        <v>0</v>
      </c>
      <c r="K327" s="46">
        <v>0</v>
      </c>
      <c r="L327" s="46">
        <v>0</v>
      </c>
      <c r="M327" s="46">
        <f t="shared" si="142"/>
        <v>0</v>
      </c>
      <c r="N327" s="46">
        <v>0</v>
      </c>
      <c r="O327" s="46">
        <v>0</v>
      </c>
      <c r="P327" s="46">
        <v>0</v>
      </c>
      <c r="Q327" s="74"/>
      <c r="R327" s="74"/>
      <c r="S327" s="49"/>
      <c r="T327" s="49"/>
      <c r="U327" s="49"/>
    </row>
    <row r="328" spans="1:21" s="50" customFormat="1" ht="13.5" hidden="1" customHeight="1">
      <c r="A328" s="886"/>
      <c r="B328" s="889"/>
      <c r="C328" s="81" t="s">
        <v>14</v>
      </c>
      <c r="D328" s="45">
        <f t="shared" si="139"/>
        <v>0</v>
      </c>
      <c r="E328" s="46">
        <f t="shared" si="140"/>
        <v>0</v>
      </c>
      <c r="F328" s="46">
        <f t="shared" si="141"/>
        <v>0</v>
      </c>
      <c r="G328" s="46"/>
      <c r="H328" s="46"/>
      <c r="I328" s="46"/>
      <c r="J328" s="46"/>
      <c r="K328" s="46"/>
      <c r="L328" s="46"/>
      <c r="M328" s="46">
        <f t="shared" si="142"/>
        <v>0</v>
      </c>
      <c r="N328" s="46"/>
      <c r="O328" s="46"/>
      <c r="P328" s="46"/>
      <c r="Q328" s="74"/>
      <c r="R328" s="74"/>
      <c r="S328" s="49"/>
      <c r="T328" s="49"/>
      <c r="U328" s="49"/>
    </row>
    <row r="329" spans="1:21" s="50" customFormat="1" ht="13.5" hidden="1" customHeight="1">
      <c r="A329" s="887"/>
      <c r="B329" s="890"/>
      <c r="C329" s="81" t="s">
        <v>15</v>
      </c>
      <c r="D329" s="45">
        <f>D327+D328</f>
        <v>100000</v>
      </c>
      <c r="E329" s="46">
        <f t="shared" ref="E329:P329" si="149">E327+E328</f>
        <v>100000</v>
      </c>
      <c r="F329" s="46">
        <f t="shared" si="149"/>
        <v>100000</v>
      </c>
      <c r="G329" s="46">
        <f t="shared" si="149"/>
        <v>0</v>
      </c>
      <c r="H329" s="46">
        <f t="shared" si="149"/>
        <v>100000</v>
      </c>
      <c r="I329" s="46">
        <f t="shared" si="149"/>
        <v>0</v>
      </c>
      <c r="J329" s="46">
        <f t="shared" si="149"/>
        <v>0</v>
      </c>
      <c r="K329" s="46">
        <f t="shared" si="149"/>
        <v>0</v>
      </c>
      <c r="L329" s="46">
        <f t="shared" si="149"/>
        <v>0</v>
      </c>
      <c r="M329" s="46">
        <f t="shared" si="149"/>
        <v>0</v>
      </c>
      <c r="N329" s="46">
        <f t="shared" si="149"/>
        <v>0</v>
      </c>
      <c r="O329" s="46">
        <f t="shared" si="149"/>
        <v>0</v>
      </c>
      <c r="P329" s="46">
        <f t="shared" si="149"/>
        <v>0</v>
      </c>
      <c r="Q329" s="74"/>
      <c r="R329" s="74"/>
      <c r="S329" s="49"/>
      <c r="T329" s="49"/>
      <c r="U329" s="49"/>
    </row>
    <row r="330" spans="1:21" s="50" customFormat="1" ht="13.5" hidden="1" customHeight="1">
      <c r="A330" s="885">
        <v>85495</v>
      </c>
      <c r="B330" s="888" t="s">
        <v>51</v>
      </c>
      <c r="C330" s="81" t="s">
        <v>13</v>
      </c>
      <c r="D330" s="45">
        <f t="shared" si="139"/>
        <v>355169</v>
      </c>
      <c r="E330" s="46">
        <f t="shared" si="140"/>
        <v>355169</v>
      </c>
      <c r="F330" s="46">
        <f t="shared" si="141"/>
        <v>239169</v>
      </c>
      <c r="G330" s="46">
        <v>0</v>
      </c>
      <c r="H330" s="46">
        <v>239169</v>
      </c>
      <c r="I330" s="46">
        <v>80000</v>
      </c>
      <c r="J330" s="46">
        <v>36000</v>
      </c>
      <c r="K330" s="46">
        <v>0</v>
      </c>
      <c r="L330" s="46">
        <v>0</v>
      </c>
      <c r="M330" s="46">
        <f t="shared" si="142"/>
        <v>0</v>
      </c>
      <c r="N330" s="46">
        <v>0</v>
      </c>
      <c r="O330" s="46">
        <v>0</v>
      </c>
      <c r="P330" s="46">
        <v>0</v>
      </c>
      <c r="Q330" s="74"/>
      <c r="R330" s="74"/>
      <c r="S330" s="49"/>
      <c r="T330" s="49"/>
      <c r="U330" s="49"/>
    </row>
    <row r="331" spans="1:21" s="50" customFormat="1" ht="13.5" hidden="1" customHeight="1">
      <c r="A331" s="886"/>
      <c r="B331" s="889"/>
      <c r="C331" s="81" t="s">
        <v>14</v>
      </c>
      <c r="D331" s="45">
        <f t="shared" si="139"/>
        <v>0</v>
      </c>
      <c r="E331" s="46">
        <f t="shared" si="140"/>
        <v>0</v>
      </c>
      <c r="F331" s="46">
        <f t="shared" si="141"/>
        <v>0</v>
      </c>
      <c r="G331" s="46"/>
      <c r="H331" s="46"/>
      <c r="I331" s="46"/>
      <c r="J331" s="46"/>
      <c r="K331" s="46"/>
      <c r="L331" s="46"/>
      <c r="M331" s="46">
        <f t="shared" si="142"/>
        <v>0</v>
      </c>
      <c r="N331" s="46"/>
      <c r="O331" s="46"/>
      <c r="P331" s="46"/>
      <c r="Q331" s="74"/>
      <c r="R331" s="74"/>
      <c r="S331" s="49"/>
      <c r="T331" s="49"/>
      <c r="U331" s="49"/>
    </row>
    <row r="332" spans="1:21" s="50" customFormat="1" ht="13.5" hidden="1" customHeight="1">
      <c r="A332" s="887"/>
      <c r="B332" s="890"/>
      <c r="C332" s="81" t="s">
        <v>15</v>
      </c>
      <c r="D332" s="45">
        <f>D330+D331</f>
        <v>355169</v>
      </c>
      <c r="E332" s="46">
        <f t="shared" ref="E332:P332" si="150">E330+E331</f>
        <v>355169</v>
      </c>
      <c r="F332" s="46">
        <f t="shared" si="150"/>
        <v>239169</v>
      </c>
      <c r="G332" s="46">
        <f t="shared" si="150"/>
        <v>0</v>
      </c>
      <c r="H332" s="46">
        <f t="shared" si="150"/>
        <v>239169</v>
      </c>
      <c r="I332" s="46">
        <f t="shared" si="150"/>
        <v>80000</v>
      </c>
      <c r="J332" s="46">
        <f t="shared" si="150"/>
        <v>36000</v>
      </c>
      <c r="K332" s="46">
        <f t="shared" si="150"/>
        <v>0</v>
      </c>
      <c r="L332" s="46">
        <f t="shared" si="150"/>
        <v>0</v>
      </c>
      <c r="M332" s="46">
        <f t="shared" si="150"/>
        <v>0</v>
      </c>
      <c r="N332" s="46">
        <f t="shared" si="150"/>
        <v>0</v>
      </c>
      <c r="O332" s="46">
        <f t="shared" si="150"/>
        <v>0</v>
      </c>
      <c r="P332" s="46">
        <f t="shared" si="150"/>
        <v>0</v>
      </c>
      <c r="Q332" s="74"/>
      <c r="R332" s="74"/>
      <c r="S332" s="49"/>
      <c r="T332" s="49"/>
      <c r="U332" s="49"/>
    </row>
    <row r="333" spans="1:21" s="28" customFormat="1" ht="14.25" hidden="1">
      <c r="A333" s="877">
        <v>855</v>
      </c>
      <c r="B333" s="880" t="s">
        <v>62</v>
      </c>
      <c r="C333" s="80" t="s">
        <v>13</v>
      </c>
      <c r="D333" s="43">
        <f t="shared" ref="D333:P334" si="151">D336+D339</f>
        <v>11802352</v>
      </c>
      <c r="E333" s="44">
        <f t="shared" si="151"/>
        <v>11802352</v>
      </c>
      <c r="F333" s="44">
        <f t="shared" si="151"/>
        <v>1691000</v>
      </c>
      <c r="G333" s="44">
        <f t="shared" si="151"/>
        <v>1366358</v>
      </c>
      <c r="H333" s="44">
        <f t="shared" si="151"/>
        <v>324642</v>
      </c>
      <c r="I333" s="44">
        <f t="shared" si="151"/>
        <v>1440000</v>
      </c>
      <c r="J333" s="44">
        <f t="shared" si="151"/>
        <v>1000</v>
      </c>
      <c r="K333" s="44">
        <f t="shared" si="151"/>
        <v>8670352</v>
      </c>
      <c r="L333" s="44">
        <f t="shared" si="151"/>
        <v>0</v>
      </c>
      <c r="M333" s="44">
        <f t="shared" si="151"/>
        <v>0</v>
      </c>
      <c r="N333" s="44">
        <f t="shared" si="151"/>
        <v>0</v>
      </c>
      <c r="O333" s="44">
        <f t="shared" si="151"/>
        <v>0</v>
      </c>
      <c r="P333" s="44">
        <f t="shared" si="151"/>
        <v>0</v>
      </c>
      <c r="Q333" s="69"/>
      <c r="R333" s="69"/>
      <c r="S333" s="34"/>
      <c r="T333" s="34"/>
      <c r="U333" s="34"/>
    </row>
    <row r="334" spans="1:21" s="28" customFormat="1" ht="14.25" hidden="1">
      <c r="A334" s="878"/>
      <c r="B334" s="881"/>
      <c r="C334" s="80" t="s">
        <v>14</v>
      </c>
      <c r="D334" s="43">
        <f t="shared" si="151"/>
        <v>0</v>
      </c>
      <c r="E334" s="44">
        <f t="shared" si="151"/>
        <v>0</v>
      </c>
      <c r="F334" s="44">
        <f t="shared" si="151"/>
        <v>0</v>
      </c>
      <c r="G334" s="44">
        <f t="shared" si="151"/>
        <v>0</v>
      </c>
      <c r="H334" s="44">
        <f t="shared" si="151"/>
        <v>0</v>
      </c>
      <c r="I334" s="44">
        <f t="shared" si="151"/>
        <v>0</v>
      </c>
      <c r="J334" s="44">
        <f t="shared" si="151"/>
        <v>0</v>
      </c>
      <c r="K334" s="44">
        <f t="shared" si="151"/>
        <v>0</v>
      </c>
      <c r="L334" s="44">
        <f t="shared" si="151"/>
        <v>0</v>
      </c>
      <c r="M334" s="44">
        <f t="shared" si="151"/>
        <v>0</v>
      </c>
      <c r="N334" s="44">
        <f t="shared" si="151"/>
        <v>0</v>
      </c>
      <c r="O334" s="44">
        <f t="shared" si="151"/>
        <v>0</v>
      </c>
      <c r="P334" s="44">
        <f t="shared" si="151"/>
        <v>0</v>
      </c>
      <c r="Q334" s="69"/>
      <c r="R334" s="69"/>
      <c r="S334" s="34"/>
      <c r="T334" s="34"/>
      <c r="U334" s="34"/>
    </row>
    <row r="335" spans="1:21" s="28" customFormat="1" ht="14.25" hidden="1">
      <c r="A335" s="879"/>
      <c r="B335" s="882"/>
      <c r="C335" s="80" t="s">
        <v>15</v>
      </c>
      <c r="D335" s="43">
        <f>D333+D334</f>
        <v>11802352</v>
      </c>
      <c r="E335" s="44">
        <f t="shared" ref="E335:P335" si="152">E333+E334</f>
        <v>11802352</v>
      </c>
      <c r="F335" s="44">
        <f t="shared" si="152"/>
        <v>1691000</v>
      </c>
      <c r="G335" s="44">
        <f t="shared" si="152"/>
        <v>1366358</v>
      </c>
      <c r="H335" s="44">
        <f t="shared" si="152"/>
        <v>324642</v>
      </c>
      <c r="I335" s="44">
        <f t="shared" si="152"/>
        <v>1440000</v>
      </c>
      <c r="J335" s="44">
        <f t="shared" si="152"/>
        <v>1000</v>
      </c>
      <c r="K335" s="44">
        <f t="shared" si="152"/>
        <v>8670352</v>
      </c>
      <c r="L335" s="44">
        <f t="shared" si="152"/>
        <v>0</v>
      </c>
      <c r="M335" s="44">
        <f t="shared" si="152"/>
        <v>0</v>
      </c>
      <c r="N335" s="44">
        <f t="shared" si="152"/>
        <v>0</v>
      </c>
      <c r="O335" s="44">
        <f t="shared" si="152"/>
        <v>0</v>
      </c>
      <c r="P335" s="44">
        <f t="shared" si="152"/>
        <v>0</v>
      </c>
      <c r="Q335" s="69"/>
      <c r="R335" s="69"/>
      <c r="S335" s="34"/>
      <c r="T335" s="34"/>
      <c r="U335" s="34"/>
    </row>
    <row r="336" spans="1:21" s="50" customFormat="1" ht="13.5" hidden="1" customHeight="1">
      <c r="A336" s="885">
        <v>85509</v>
      </c>
      <c r="B336" s="888" t="s">
        <v>76</v>
      </c>
      <c r="C336" s="81" t="s">
        <v>13</v>
      </c>
      <c r="D336" s="45">
        <f>E336+M336</f>
        <v>1963000</v>
      </c>
      <c r="E336" s="46">
        <f>F336+I336+J336+K336+L336</f>
        <v>1963000</v>
      </c>
      <c r="F336" s="46">
        <f>G336+H336</f>
        <v>1532000</v>
      </c>
      <c r="G336" s="46">
        <v>1364358</v>
      </c>
      <c r="H336" s="46">
        <f>13000+5000+35000+5000+1500+35000+9000+3108+15000+150+40884+3000+2000</f>
        <v>167642</v>
      </c>
      <c r="I336" s="46">
        <v>430000</v>
      </c>
      <c r="J336" s="46">
        <v>1000</v>
      </c>
      <c r="K336" s="46">
        <v>0</v>
      </c>
      <c r="L336" s="46">
        <v>0</v>
      </c>
      <c r="M336" s="46">
        <f>N336+P336</f>
        <v>0</v>
      </c>
      <c r="N336" s="46">
        <v>0</v>
      </c>
      <c r="O336" s="46">
        <v>0</v>
      </c>
      <c r="P336" s="46">
        <v>0</v>
      </c>
      <c r="Q336" s="75"/>
      <c r="R336" s="75"/>
      <c r="S336" s="49"/>
      <c r="T336" s="49"/>
      <c r="U336" s="49"/>
    </row>
    <row r="337" spans="1:21" s="50" customFormat="1" ht="13.5" hidden="1" customHeight="1">
      <c r="A337" s="886"/>
      <c r="B337" s="889"/>
      <c r="C337" s="81" t="s">
        <v>14</v>
      </c>
      <c r="D337" s="45">
        <f>E337+M337</f>
        <v>0</v>
      </c>
      <c r="E337" s="46">
        <f>F337+I337+J337+K337+L337</f>
        <v>0</v>
      </c>
      <c r="F337" s="46">
        <f>G337+H337</f>
        <v>0</v>
      </c>
      <c r="G337" s="46"/>
      <c r="H337" s="46"/>
      <c r="I337" s="46"/>
      <c r="J337" s="46"/>
      <c r="K337" s="46"/>
      <c r="L337" s="46"/>
      <c r="M337" s="46">
        <f>N337+P337</f>
        <v>0</v>
      </c>
      <c r="N337" s="46"/>
      <c r="O337" s="46"/>
      <c r="P337" s="46"/>
      <c r="Q337" s="75"/>
      <c r="R337" s="75"/>
      <c r="S337" s="49"/>
      <c r="T337" s="49"/>
      <c r="U337" s="49"/>
    </row>
    <row r="338" spans="1:21" s="50" customFormat="1" ht="13.5" hidden="1" customHeight="1">
      <c r="A338" s="887"/>
      <c r="B338" s="890"/>
      <c r="C338" s="81" t="s">
        <v>15</v>
      </c>
      <c r="D338" s="45">
        <f>D336+D337</f>
        <v>1963000</v>
      </c>
      <c r="E338" s="46">
        <f t="shared" ref="E338:P338" si="153">E336+E337</f>
        <v>1963000</v>
      </c>
      <c r="F338" s="46">
        <f t="shared" si="153"/>
        <v>1532000</v>
      </c>
      <c r="G338" s="46">
        <f t="shared" si="153"/>
        <v>1364358</v>
      </c>
      <c r="H338" s="46">
        <f t="shared" si="153"/>
        <v>167642</v>
      </c>
      <c r="I338" s="46">
        <f t="shared" si="153"/>
        <v>430000</v>
      </c>
      <c r="J338" s="46">
        <f t="shared" si="153"/>
        <v>1000</v>
      </c>
      <c r="K338" s="46">
        <f t="shared" si="153"/>
        <v>0</v>
      </c>
      <c r="L338" s="46">
        <f t="shared" si="153"/>
        <v>0</v>
      </c>
      <c r="M338" s="46">
        <f t="shared" si="153"/>
        <v>0</v>
      </c>
      <c r="N338" s="46">
        <f t="shared" si="153"/>
        <v>0</v>
      </c>
      <c r="O338" s="46">
        <f t="shared" si="153"/>
        <v>0</v>
      </c>
      <c r="P338" s="46">
        <f t="shared" si="153"/>
        <v>0</v>
      </c>
      <c r="Q338" s="75"/>
      <c r="R338" s="75"/>
      <c r="S338" s="49"/>
      <c r="T338" s="49"/>
      <c r="U338" s="49"/>
    </row>
    <row r="339" spans="1:21" s="50" customFormat="1" ht="13.5" hidden="1" customHeight="1">
      <c r="A339" s="885">
        <v>85595</v>
      </c>
      <c r="B339" s="888" t="s">
        <v>51</v>
      </c>
      <c r="C339" s="81" t="s">
        <v>13</v>
      </c>
      <c r="D339" s="45">
        <f>E339+M339</f>
        <v>9839352</v>
      </c>
      <c r="E339" s="46">
        <f>F339+I339+J339+K339+L339</f>
        <v>9839352</v>
      </c>
      <c r="F339" s="46">
        <f>G339+H339</f>
        <v>159000</v>
      </c>
      <c r="G339" s="46">
        <v>2000</v>
      </c>
      <c r="H339" s="46">
        <f>4000+1900+100+151000</f>
        <v>157000</v>
      </c>
      <c r="I339" s="46">
        <v>1010000</v>
      </c>
      <c r="J339" s="46">
        <v>0</v>
      </c>
      <c r="K339" s="46">
        <f>9839352-1010000-2000-4000-1900-100-151000</f>
        <v>8670352</v>
      </c>
      <c r="L339" s="46">
        <v>0</v>
      </c>
      <c r="M339" s="46">
        <f>N339+P339</f>
        <v>0</v>
      </c>
      <c r="N339" s="46">
        <v>0</v>
      </c>
      <c r="O339" s="46">
        <v>0</v>
      </c>
      <c r="P339" s="46">
        <v>0</v>
      </c>
      <c r="Q339" s="74"/>
      <c r="R339" s="74"/>
      <c r="S339" s="49"/>
      <c r="T339" s="49"/>
      <c r="U339" s="49"/>
    </row>
    <row r="340" spans="1:21" s="50" customFormat="1" ht="13.5" hidden="1" customHeight="1">
      <c r="A340" s="886"/>
      <c r="B340" s="889"/>
      <c r="C340" s="81" t="s">
        <v>14</v>
      </c>
      <c r="D340" s="45">
        <f>E340+M340</f>
        <v>0</v>
      </c>
      <c r="E340" s="46">
        <f>F340+I340+J340+K340+L340</f>
        <v>0</v>
      </c>
      <c r="F340" s="46">
        <f>G340+H340</f>
        <v>0</v>
      </c>
      <c r="G340" s="46"/>
      <c r="H340" s="46"/>
      <c r="I340" s="46"/>
      <c r="J340" s="46"/>
      <c r="K340" s="46"/>
      <c r="L340" s="46"/>
      <c r="M340" s="46">
        <f>N340+P340</f>
        <v>0</v>
      </c>
      <c r="N340" s="46"/>
      <c r="O340" s="46"/>
      <c r="P340" s="46"/>
      <c r="Q340" s="74"/>
      <c r="R340" s="74"/>
      <c r="S340" s="49"/>
      <c r="T340" s="49"/>
      <c r="U340" s="49"/>
    </row>
    <row r="341" spans="1:21" s="50" customFormat="1" ht="13.5" hidden="1" customHeight="1">
      <c r="A341" s="887"/>
      <c r="B341" s="890"/>
      <c r="C341" s="81" t="s">
        <v>15</v>
      </c>
      <c r="D341" s="45">
        <f>D339+D340</f>
        <v>9839352</v>
      </c>
      <c r="E341" s="46">
        <f t="shared" ref="E341:P341" si="154">E339+E340</f>
        <v>9839352</v>
      </c>
      <c r="F341" s="46">
        <f t="shared" si="154"/>
        <v>159000</v>
      </c>
      <c r="G341" s="46">
        <f t="shared" si="154"/>
        <v>2000</v>
      </c>
      <c r="H341" s="46">
        <f t="shared" si="154"/>
        <v>157000</v>
      </c>
      <c r="I341" s="46">
        <f t="shared" si="154"/>
        <v>1010000</v>
      </c>
      <c r="J341" s="46">
        <f t="shared" si="154"/>
        <v>0</v>
      </c>
      <c r="K341" s="46">
        <f t="shared" si="154"/>
        <v>8670352</v>
      </c>
      <c r="L341" s="46">
        <f t="shared" si="154"/>
        <v>0</v>
      </c>
      <c r="M341" s="46">
        <f t="shared" si="154"/>
        <v>0</v>
      </c>
      <c r="N341" s="46">
        <f t="shared" si="154"/>
        <v>0</v>
      </c>
      <c r="O341" s="46">
        <f t="shared" si="154"/>
        <v>0</v>
      </c>
      <c r="P341" s="46">
        <f t="shared" si="154"/>
        <v>0</v>
      </c>
      <c r="Q341" s="74"/>
      <c r="R341" s="74"/>
      <c r="S341" s="49"/>
      <c r="T341" s="49"/>
      <c r="U341" s="49"/>
    </row>
    <row r="342" spans="1:21" s="28" customFormat="1" ht="14.85" customHeight="1">
      <c r="A342" s="877">
        <v>900</v>
      </c>
      <c r="B342" s="880" t="s">
        <v>38</v>
      </c>
      <c r="C342" s="80" t="s">
        <v>13</v>
      </c>
      <c r="D342" s="43">
        <f>D351+D354+D360+D363+D366+D372+D369+D348+D345+D357</f>
        <v>17987868</v>
      </c>
      <c r="E342" s="44">
        <f>E351+E354+E360+E363+E366+E372+E369+E348+E345+E357</f>
        <v>3383770</v>
      </c>
      <c r="F342" s="44">
        <f t="shared" ref="F342:P342" si="155">F351+F354+F360+F363+F366+F372+F369+F348+F345+F357</f>
        <v>2746315</v>
      </c>
      <c r="G342" s="44">
        <f t="shared" si="155"/>
        <v>1821575</v>
      </c>
      <c r="H342" s="44">
        <f t="shared" si="155"/>
        <v>924740</v>
      </c>
      <c r="I342" s="44">
        <f t="shared" si="155"/>
        <v>100000</v>
      </c>
      <c r="J342" s="44">
        <f t="shared" si="155"/>
        <v>0</v>
      </c>
      <c r="K342" s="44">
        <f t="shared" si="155"/>
        <v>537455</v>
      </c>
      <c r="L342" s="44">
        <f t="shared" si="155"/>
        <v>0</v>
      </c>
      <c r="M342" s="44">
        <f t="shared" si="155"/>
        <v>14604098</v>
      </c>
      <c r="N342" s="44">
        <f t="shared" si="155"/>
        <v>11604098</v>
      </c>
      <c r="O342" s="44">
        <f t="shared" si="155"/>
        <v>11604098</v>
      </c>
      <c r="P342" s="44">
        <f t="shared" si="155"/>
        <v>3000000</v>
      </c>
      <c r="Q342" s="69"/>
      <c r="R342" s="69"/>
      <c r="S342" s="34"/>
      <c r="T342" s="34"/>
      <c r="U342" s="34"/>
    </row>
    <row r="343" spans="1:21" s="28" customFormat="1" ht="14.85" customHeight="1">
      <c r="A343" s="878"/>
      <c r="B343" s="881"/>
      <c r="C343" s="80" t="s">
        <v>14</v>
      </c>
      <c r="D343" s="43">
        <f>D352+D355+D361+D364+D367+D373+D370+D349+D346+D358</f>
        <v>-730655</v>
      </c>
      <c r="E343" s="44">
        <f t="shared" ref="E343:P343" si="156">E352+E355+E361+E364+E367+E373+E370+E349+E346+E358</f>
        <v>416</v>
      </c>
      <c r="F343" s="44">
        <f t="shared" si="156"/>
        <v>0</v>
      </c>
      <c r="G343" s="44">
        <f t="shared" si="156"/>
        <v>0</v>
      </c>
      <c r="H343" s="44">
        <f t="shared" si="156"/>
        <v>0</v>
      </c>
      <c r="I343" s="44">
        <f t="shared" si="156"/>
        <v>0</v>
      </c>
      <c r="J343" s="44">
        <f t="shared" si="156"/>
        <v>0</v>
      </c>
      <c r="K343" s="44">
        <f t="shared" si="156"/>
        <v>416</v>
      </c>
      <c r="L343" s="44">
        <f t="shared" si="156"/>
        <v>0</v>
      </c>
      <c r="M343" s="44">
        <f t="shared" si="156"/>
        <v>-731071</v>
      </c>
      <c r="N343" s="44">
        <f t="shared" si="156"/>
        <v>768929</v>
      </c>
      <c r="O343" s="44">
        <f t="shared" si="156"/>
        <v>768929</v>
      </c>
      <c r="P343" s="44">
        <f t="shared" si="156"/>
        <v>-1500000</v>
      </c>
      <c r="Q343" s="69"/>
      <c r="R343" s="69"/>
      <c r="S343" s="34"/>
      <c r="T343" s="34"/>
      <c r="U343" s="34"/>
    </row>
    <row r="344" spans="1:21" s="28" customFormat="1" ht="14.85" customHeight="1">
      <c r="A344" s="879"/>
      <c r="B344" s="882"/>
      <c r="C344" s="116" t="s">
        <v>15</v>
      </c>
      <c r="D344" s="43">
        <f>D342+D343</f>
        <v>17257213</v>
      </c>
      <c r="E344" s="44">
        <f t="shared" ref="E344:P344" si="157">E342+E343</f>
        <v>3384186</v>
      </c>
      <c r="F344" s="44">
        <f t="shared" si="157"/>
        <v>2746315</v>
      </c>
      <c r="G344" s="44">
        <f t="shared" si="157"/>
        <v>1821575</v>
      </c>
      <c r="H344" s="44">
        <f t="shared" si="157"/>
        <v>924740</v>
      </c>
      <c r="I344" s="44">
        <f t="shared" si="157"/>
        <v>100000</v>
      </c>
      <c r="J344" s="44">
        <f t="shared" si="157"/>
        <v>0</v>
      </c>
      <c r="K344" s="44">
        <f t="shared" si="157"/>
        <v>537871</v>
      </c>
      <c r="L344" s="44">
        <f t="shared" si="157"/>
        <v>0</v>
      </c>
      <c r="M344" s="44">
        <f t="shared" si="157"/>
        <v>13873027</v>
      </c>
      <c r="N344" s="44">
        <f t="shared" si="157"/>
        <v>12373027</v>
      </c>
      <c r="O344" s="44">
        <f t="shared" si="157"/>
        <v>12373027</v>
      </c>
      <c r="P344" s="44">
        <f t="shared" si="157"/>
        <v>1500000</v>
      </c>
      <c r="Q344" s="69"/>
      <c r="R344" s="69"/>
      <c r="S344" s="34"/>
      <c r="T344" s="34"/>
      <c r="U344" s="34"/>
    </row>
    <row r="345" spans="1:21" s="50" customFormat="1" ht="13.5" hidden="1" customHeight="1">
      <c r="A345" s="885">
        <v>90001</v>
      </c>
      <c r="B345" s="888" t="s">
        <v>210</v>
      </c>
      <c r="C345" s="81" t="s">
        <v>13</v>
      </c>
      <c r="D345" s="45">
        <f>E345+M345</f>
        <v>60878</v>
      </c>
      <c r="E345" s="46">
        <f>F345+I345+J345+K345+L345</f>
        <v>0</v>
      </c>
      <c r="F345" s="46">
        <f>G345+H345</f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f>N345+P345</f>
        <v>60878</v>
      </c>
      <c r="N345" s="46">
        <v>60878</v>
      </c>
      <c r="O345" s="46">
        <v>60878</v>
      </c>
      <c r="P345" s="46">
        <v>0</v>
      </c>
      <c r="Q345" s="74"/>
      <c r="R345" s="74"/>
      <c r="S345" s="49"/>
      <c r="T345" s="49"/>
      <c r="U345" s="49"/>
    </row>
    <row r="346" spans="1:21" s="50" customFormat="1" ht="13.5" hidden="1" customHeight="1">
      <c r="A346" s="886"/>
      <c r="B346" s="889"/>
      <c r="C346" s="81" t="s">
        <v>14</v>
      </c>
      <c r="D346" s="45">
        <f>E346+M346</f>
        <v>0</v>
      </c>
      <c r="E346" s="46">
        <f>F346+I346+J346+K346+L346</f>
        <v>0</v>
      </c>
      <c r="F346" s="46">
        <f>G346+H346</f>
        <v>0</v>
      </c>
      <c r="G346" s="46"/>
      <c r="H346" s="46"/>
      <c r="I346" s="46"/>
      <c r="J346" s="46"/>
      <c r="K346" s="46"/>
      <c r="L346" s="46"/>
      <c r="M346" s="46">
        <f>N346+P346</f>
        <v>0</v>
      </c>
      <c r="N346" s="46"/>
      <c r="O346" s="46"/>
      <c r="P346" s="46"/>
      <c r="Q346" s="74"/>
      <c r="R346" s="74"/>
      <c r="S346" s="49"/>
      <c r="T346" s="49"/>
      <c r="U346" s="49"/>
    </row>
    <row r="347" spans="1:21" s="50" customFormat="1" ht="13.5" hidden="1" customHeight="1">
      <c r="A347" s="887"/>
      <c r="B347" s="890"/>
      <c r="C347" s="81" t="s">
        <v>15</v>
      </c>
      <c r="D347" s="45">
        <f>D345+D346</f>
        <v>60878</v>
      </c>
      <c r="E347" s="46">
        <f t="shared" ref="E347:P347" si="158">E345+E346</f>
        <v>0</v>
      </c>
      <c r="F347" s="46">
        <f t="shared" si="158"/>
        <v>0</v>
      </c>
      <c r="G347" s="46">
        <f t="shared" si="158"/>
        <v>0</v>
      </c>
      <c r="H347" s="46">
        <f t="shared" si="158"/>
        <v>0</v>
      </c>
      <c r="I347" s="46">
        <f t="shared" si="158"/>
        <v>0</v>
      </c>
      <c r="J347" s="46">
        <f t="shared" si="158"/>
        <v>0</v>
      </c>
      <c r="K347" s="46">
        <f t="shared" si="158"/>
        <v>0</v>
      </c>
      <c r="L347" s="46">
        <f t="shared" si="158"/>
        <v>0</v>
      </c>
      <c r="M347" s="46">
        <f t="shared" si="158"/>
        <v>60878</v>
      </c>
      <c r="N347" s="46">
        <f t="shared" si="158"/>
        <v>60878</v>
      </c>
      <c r="O347" s="46">
        <f t="shared" si="158"/>
        <v>60878</v>
      </c>
      <c r="P347" s="46">
        <f t="shared" si="158"/>
        <v>0</v>
      </c>
      <c r="Q347" s="74"/>
      <c r="R347" s="74"/>
      <c r="S347" s="49"/>
      <c r="T347" s="49"/>
      <c r="U347" s="49"/>
    </row>
    <row r="348" spans="1:21" s="50" customFormat="1" ht="13.5" hidden="1" customHeight="1">
      <c r="A348" s="885">
        <v>90002</v>
      </c>
      <c r="B348" s="888" t="s">
        <v>211</v>
      </c>
      <c r="C348" s="81" t="s">
        <v>13</v>
      </c>
      <c r="D348" s="45">
        <f t="shared" ref="D348:D373" si="159">E348+M348</f>
        <v>2000</v>
      </c>
      <c r="E348" s="46">
        <f t="shared" ref="E348:E373" si="160">F348+I348+J348+K348+L348</f>
        <v>2000</v>
      </c>
      <c r="F348" s="46">
        <f t="shared" ref="F348:F373" si="161">G348+H348</f>
        <v>2000</v>
      </c>
      <c r="G348" s="46">
        <v>2000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f>N348+P348</f>
        <v>0</v>
      </c>
      <c r="N348" s="46">
        <v>0</v>
      </c>
      <c r="O348" s="46">
        <v>0</v>
      </c>
      <c r="P348" s="46">
        <v>0</v>
      </c>
      <c r="Q348" s="74"/>
      <c r="R348" s="74"/>
      <c r="S348" s="49"/>
      <c r="T348" s="49"/>
      <c r="U348" s="49"/>
    </row>
    <row r="349" spans="1:21" s="50" customFormat="1" ht="13.5" hidden="1" customHeight="1">
      <c r="A349" s="886"/>
      <c r="B349" s="889"/>
      <c r="C349" s="81" t="s">
        <v>14</v>
      </c>
      <c r="D349" s="45">
        <f t="shared" si="159"/>
        <v>0</v>
      </c>
      <c r="E349" s="46">
        <f t="shared" si="160"/>
        <v>0</v>
      </c>
      <c r="F349" s="46">
        <f t="shared" si="161"/>
        <v>0</v>
      </c>
      <c r="G349" s="46"/>
      <c r="H349" s="46"/>
      <c r="I349" s="46"/>
      <c r="J349" s="46"/>
      <c r="K349" s="46"/>
      <c r="L349" s="46"/>
      <c r="M349" s="46">
        <f>N349+P349</f>
        <v>0</v>
      </c>
      <c r="N349" s="46"/>
      <c r="O349" s="46"/>
      <c r="P349" s="46"/>
      <c r="Q349" s="74"/>
      <c r="R349" s="74"/>
      <c r="S349" s="49"/>
      <c r="T349" s="49"/>
      <c r="U349" s="49"/>
    </row>
    <row r="350" spans="1:21" s="50" customFormat="1" ht="13.5" hidden="1" customHeight="1">
      <c r="A350" s="887"/>
      <c r="B350" s="890"/>
      <c r="C350" s="81" t="s">
        <v>15</v>
      </c>
      <c r="D350" s="45">
        <f>D348+D349</f>
        <v>2000</v>
      </c>
      <c r="E350" s="46">
        <f t="shared" ref="E350:P350" si="162">E348+E349</f>
        <v>2000</v>
      </c>
      <c r="F350" s="46">
        <f t="shared" si="162"/>
        <v>2000</v>
      </c>
      <c r="G350" s="46">
        <f t="shared" si="162"/>
        <v>2000</v>
      </c>
      <c r="H350" s="46">
        <f t="shared" si="162"/>
        <v>0</v>
      </c>
      <c r="I350" s="46">
        <f t="shared" si="162"/>
        <v>0</v>
      </c>
      <c r="J350" s="46">
        <f t="shared" si="162"/>
        <v>0</v>
      </c>
      <c r="K350" s="46">
        <f t="shared" si="162"/>
        <v>0</v>
      </c>
      <c r="L350" s="46">
        <f t="shared" si="162"/>
        <v>0</v>
      </c>
      <c r="M350" s="46">
        <f t="shared" si="162"/>
        <v>0</v>
      </c>
      <c r="N350" s="46">
        <f t="shared" si="162"/>
        <v>0</v>
      </c>
      <c r="O350" s="46">
        <f t="shared" si="162"/>
        <v>0</v>
      </c>
      <c r="P350" s="46">
        <f t="shared" si="162"/>
        <v>0</v>
      </c>
      <c r="Q350" s="74"/>
      <c r="R350" s="74"/>
      <c r="S350" s="49"/>
      <c r="T350" s="49"/>
      <c r="U350" s="49"/>
    </row>
    <row r="351" spans="1:21" s="50" customFormat="1" ht="13.5" hidden="1" customHeight="1">
      <c r="A351" s="885">
        <v>90005</v>
      </c>
      <c r="B351" s="888" t="s">
        <v>63</v>
      </c>
      <c r="C351" s="81" t="s">
        <v>13</v>
      </c>
      <c r="D351" s="45">
        <f t="shared" si="159"/>
        <v>137000</v>
      </c>
      <c r="E351" s="46">
        <f t="shared" si="160"/>
        <v>137000</v>
      </c>
      <c r="F351" s="46">
        <f t="shared" si="161"/>
        <v>137000</v>
      </c>
      <c r="G351" s="46">
        <v>0</v>
      </c>
      <c r="H351" s="46">
        <v>137000</v>
      </c>
      <c r="I351" s="46">
        <v>0</v>
      </c>
      <c r="J351" s="46">
        <v>0</v>
      </c>
      <c r="K351" s="46">
        <v>0</v>
      </c>
      <c r="L351" s="46">
        <v>0</v>
      </c>
      <c r="M351" s="46">
        <f t="shared" ref="M351:M373" si="163">N351+P351</f>
        <v>0</v>
      </c>
      <c r="N351" s="46">
        <v>0</v>
      </c>
      <c r="O351" s="46">
        <v>0</v>
      </c>
      <c r="P351" s="46">
        <v>0</v>
      </c>
      <c r="Q351" s="74"/>
      <c r="R351" s="74"/>
      <c r="S351" s="49"/>
      <c r="T351" s="49"/>
      <c r="U351" s="49"/>
    </row>
    <row r="352" spans="1:21" s="50" customFormat="1" ht="13.5" hidden="1" customHeight="1">
      <c r="A352" s="886"/>
      <c r="B352" s="889"/>
      <c r="C352" s="81" t="s">
        <v>14</v>
      </c>
      <c r="D352" s="45">
        <f t="shared" si="159"/>
        <v>0</v>
      </c>
      <c r="E352" s="46">
        <f t="shared" si="160"/>
        <v>0</v>
      </c>
      <c r="F352" s="46">
        <f t="shared" si="161"/>
        <v>0</v>
      </c>
      <c r="G352" s="46"/>
      <c r="H352" s="46"/>
      <c r="I352" s="46"/>
      <c r="J352" s="46"/>
      <c r="K352" s="46"/>
      <c r="L352" s="46"/>
      <c r="M352" s="46">
        <f t="shared" si="163"/>
        <v>0</v>
      </c>
      <c r="N352" s="46"/>
      <c r="O352" s="46"/>
      <c r="P352" s="46"/>
      <c r="Q352" s="74"/>
      <c r="R352" s="74"/>
      <c r="S352" s="49"/>
      <c r="T352" s="49"/>
      <c r="U352" s="49"/>
    </row>
    <row r="353" spans="1:21" s="50" customFormat="1" ht="13.5" hidden="1" customHeight="1">
      <c r="A353" s="887"/>
      <c r="B353" s="890"/>
      <c r="C353" s="81" t="s">
        <v>15</v>
      </c>
      <c r="D353" s="45">
        <f>D351+D352</f>
        <v>137000</v>
      </c>
      <c r="E353" s="46">
        <f t="shared" ref="E353:P353" si="164">E351+E352</f>
        <v>137000</v>
      </c>
      <c r="F353" s="46">
        <f t="shared" si="164"/>
        <v>137000</v>
      </c>
      <c r="G353" s="46">
        <f t="shared" si="164"/>
        <v>0</v>
      </c>
      <c r="H353" s="46">
        <f t="shared" si="164"/>
        <v>137000</v>
      </c>
      <c r="I353" s="46">
        <f t="shared" si="164"/>
        <v>0</v>
      </c>
      <c r="J353" s="46">
        <f t="shared" si="164"/>
        <v>0</v>
      </c>
      <c r="K353" s="46">
        <f t="shared" si="164"/>
        <v>0</v>
      </c>
      <c r="L353" s="46">
        <f t="shared" si="164"/>
        <v>0</v>
      </c>
      <c r="M353" s="46">
        <f t="shared" si="164"/>
        <v>0</v>
      </c>
      <c r="N353" s="46">
        <f t="shared" si="164"/>
        <v>0</v>
      </c>
      <c r="O353" s="46">
        <f t="shared" si="164"/>
        <v>0</v>
      </c>
      <c r="P353" s="46">
        <f t="shared" si="164"/>
        <v>0</v>
      </c>
      <c r="Q353" s="74"/>
      <c r="R353" s="74"/>
      <c r="S353" s="49"/>
      <c r="T353" s="49"/>
      <c r="U353" s="49"/>
    </row>
    <row r="354" spans="1:21" s="50" customFormat="1" ht="13.5" hidden="1" customHeight="1">
      <c r="A354" s="885">
        <v>90007</v>
      </c>
      <c r="B354" s="888" t="s">
        <v>64</v>
      </c>
      <c r="C354" s="81" t="s">
        <v>13</v>
      </c>
      <c r="D354" s="45">
        <f t="shared" si="159"/>
        <v>59000</v>
      </c>
      <c r="E354" s="46">
        <f t="shared" si="160"/>
        <v>59000</v>
      </c>
      <c r="F354" s="46">
        <f t="shared" si="161"/>
        <v>59000</v>
      </c>
      <c r="G354" s="46">
        <v>0</v>
      </c>
      <c r="H354" s="46">
        <v>59000</v>
      </c>
      <c r="I354" s="46">
        <v>0</v>
      </c>
      <c r="J354" s="46">
        <v>0</v>
      </c>
      <c r="K354" s="46">
        <v>0</v>
      </c>
      <c r="L354" s="46">
        <v>0</v>
      </c>
      <c r="M354" s="46">
        <f t="shared" si="163"/>
        <v>0</v>
      </c>
      <c r="N354" s="46">
        <v>0</v>
      </c>
      <c r="O354" s="46">
        <v>0</v>
      </c>
      <c r="P354" s="46">
        <v>0</v>
      </c>
      <c r="Q354" s="74"/>
      <c r="R354" s="74"/>
      <c r="S354" s="49"/>
      <c r="T354" s="49"/>
      <c r="U354" s="49"/>
    </row>
    <row r="355" spans="1:21" s="50" customFormat="1" ht="13.5" hidden="1" customHeight="1">
      <c r="A355" s="886"/>
      <c r="B355" s="889"/>
      <c r="C355" s="81" t="s">
        <v>14</v>
      </c>
      <c r="D355" s="45">
        <f t="shared" si="159"/>
        <v>0</v>
      </c>
      <c r="E355" s="46">
        <f t="shared" si="160"/>
        <v>0</v>
      </c>
      <c r="F355" s="46">
        <f t="shared" si="161"/>
        <v>0</v>
      </c>
      <c r="G355" s="46"/>
      <c r="H355" s="46"/>
      <c r="I355" s="46"/>
      <c r="J355" s="46"/>
      <c r="K355" s="46"/>
      <c r="L355" s="46"/>
      <c r="M355" s="46">
        <f t="shared" si="163"/>
        <v>0</v>
      </c>
      <c r="N355" s="46"/>
      <c r="O355" s="46"/>
      <c r="P355" s="46"/>
      <c r="Q355" s="74"/>
      <c r="R355" s="74"/>
      <c r="S355" s="49"/>
      <c r="T355" s="49"/>
      <c r="U355" s="49"/>
    </row>
    <row r="356" spans="1:21" s="50" customFormat="1" ht="13.5" hidden="1" customHeight="1">
      <c r="A356" s="887"/>
      <c r="B356" s="890"/>
      <c r="C356" s="81" t="s">
        <v>15</v>
      </c>
      <c r="D356" s="45">
        <f>D354+D355</f>
        <v>59000</v>
      </c>
      <c r="E356" s="46">
        <f t="shared" ref="E356:P356" si="165">E354+E355</f>
        <v>59000</v>
      </c>
      <c r="F356" s="46">
        <f t="shared" si="165"/>
        <v>59000</v>
      </c>
      <c r="G356" s="46">
        <f t="shared" si="165"/>
        <v>0</v>
      </c>
      <c r="H356" s="46">
        <f t="shared" si="165"/>
        <v>59000</v>
      </c>
      <c r="I356" s="46">
        <f t="shared" si="165"/>
        <v>0</v>
      </c>
      <c r="J356" s="46">
        <f t="shared" si="165"/>
        <v>0</v>
      </c>
      <c r="K356" s="46">
        <f t="shared" si="165"/>
        <v>0</v>
      </c>
      <c r="L356" s="46">
        <f t="shared" si="165"/>
        <v>0</v>
      </c>
      <c r="M356" s="46">
        <f t="shared" si="165"/>
        <v>0</v>
      </c>
      <c r="N356" s="46">
        <f t="shared" si="165"/>
        <v>0</v>
      </c>
      <c r="O356" s="46">
        <f t="shared" si="165"/>
        <v>0</v>
      </c>
      <c r="P356" s="46">
        <f t="shared" si="165"/>
        <v>0</v>
      </c>
      <c r="Q356" s="74"/>
      <c r="R356" s="74"/>
      <c r="S356" s="49"/>
      <c r="T356" s="49"/>
      <c r="U356" s="49"/>
    </row>
    <row r="357" spans="1:21" s="50" customFormat="1" ht="13.5" hidden="1" customHeight="1">
      <c r="A357" s="885">
        <v>90015</v>
      </c>
      <c r="B357" s="888" t="s">
        <v>212</v>
      </c>
      <c r="C357" s="81" t="s">
        <v>13</v>
      </c>
      <c r="D357" s="45">
        <f>E357+M357</f>
        <v>556985</v>
      </c>
      <c r="E357" s="46">
        <f>F357+I357+J357+K357+L357</f>
        <v>11140</v>
      </c>
      <c r="F357" s="46">
        <f>G357+H357</f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11140</v>
      </c>
      <c r="L357" s="46">
        <v>0</v>
      </c>
      <c r="M357" s="46">
        <f t="shared" si="163"/>
        <v>545845</v>
      </c>
      <c r="N357" s="46">
        <v>545845</v>
      </c>
      <c r="O357" s="46">
        <v>545845</v>
      </c>
      <c r="P357" s="46"/>
      <c r="Q357" s="74"/>
      <c r="R357" s="74"/>
      <c r="S357" s="49"/>
      <c r="T357" s="49"/>
      <c r="U357" s="49"/>
    </row>
    <row r="358" spans="1:21" s="50" customFormat="1" ht="13.5" hidden="1" customHeight="1">
      <c r="A358" s="886"/>
      <c r="B358" s="889"/>
      <c r="C358" s="81" t="s">
        <v>14</v>
      </c>
      <c r="D358" s="45">
        <f>E358+M358</f>
        <v>0</v>
      </c>
      <c r="E358" s="46">
        <f>F358+I358+J358+K358+L358</f>
        <v>0</v>
      </c>
      <c r="F358" s="46">
        <f>G358+H358</f>
        <v>0</v>
      </c>
      <c r="G358" s="46"/>
      <c r="H358" s="46"/>
      <c r="I358" s="46"/>
      <c r="J358" s="46"/>
      <c r="K358" s="46"/>
      <c r="L358" s="46"/>
      <c r="M358" s="46">
        <f t="shared" si="163"/>
        <v>0</v>
      </c>
      <c r="N358" s="46"/>
      <c r="O358" s="46"/>
      <c r="P358" s="46"/>
      <c r="Q358" s="74"/>
      <c r="R358" s="74"/>
      <c r="S358" s="49"/>
      <c r="T358" s="49"/>
      <c r="U358" s="49"/>
    </row>
    <row r="359" spans="1:21" s="50" customFormat="1" ht="13.5" hidden="1" customHeight="1">
      <c r="A359" s="887"/>
      <c r="B359" s="890"/>
      <c r="C359" s="81" t="s">
        <v>15</v>
      </c>
      <c r="D359" s="45">
        <f>D357+D358</f>
        <v>556985</v>
      </c>
      <c r="E359" s="46">
        <f t="shared" ref="E359:P359" si="166">E357+E358</f>
        <v>11140</v>
      </c>
      <c r="F359" s="46">
        <f t="shared" si="166"/>
        <v>0</v>
      </c>
      <c r="G359" s="46">
        <f t="shared" si="166"/>
        <v>0</v>
      </c>
      <c r="H359" s="46">
        <f t="shared" si="166"/>
        <v>0</v>
      </c>
      <c r="I359" s="46">
        <f t="shared" si="166"/>
        <v>0</v>
      </c>
      <c r="J359" s="46">
        <f t="shared" si="166"/>
        <v>0</v>
      </c>
      <c r="K359" s="46">
        <f t="shared" si="166"/>
        <v>11140</v>
      </c>
      <c r="L359" s="46">
        <f t="shared" si="166"/>
        <v>0</v>
      </c>
      <c r="M359" s="46">
        <f t="shared" si="166"/>
        <v>545845</v>
      </c>
      <c r="N359" s="46">
        <f t="shared" si="166"/>
        <v>545845</v>
      </c>
      <c r="O359" s="46">
        <f t="shared" si="166"/>
        <v>545845</v>
      </c>
      <c r="P359" s="46">
        <f t="shared" si="166"/>
        <v>0</v>
      </c>
      <c r="Q359" s="74"/>
      <c r="R359" s="74"/>
      <c r="S359" s="49"/>
      <c r="T359" s="49"/>
      <c r="U359" s="49"/>
    </row>
    <row r="360" spans="1:21" s="26" customFormat="1" hidden="1">
      <c r="A360" s="885">
        <v>90019</v>
      </c>
      <c r="B360" s="888" t="s">
        <v>174</v>
      </c>
      <c r="C360" s="81" t="s">
        <v>13</v>
      </c>
      <c r="D360" s="45">
        <f t="shared" si="159"/>
        <v>800000</v>
      </c>
      <c r="E360" s="46">
        <f t="shared" si="160"/>
        <v>800000</v>
      </c>
      <c r="F360" s="46">
        <f t="shared" si="161"/>
        <v>800000</v>
      </c>
      <c r="G360" s="46">
        <v>633600</v>
      </c>
      <c r="H360" s="46">
        <f>10000+150000+400+6000</f>
        <v>166400</v>
      </c>
      <c r="I360" s="46">
        <v>0</v>
      </c>
      <c r="J360" s="46">
        <v>0</v>
      </c>
      <c r="K360" s="46">
        <v>0</v>
      </c>
      <c r="L360" s="46">
        <v>0</v>
      </c>
      <c r="M360" s="46">
        <f t="shared" si="163"/>
        <v>0</v>
      </c>
      <c r="N360" s="46">
        <v>0</v>
      </c>
      <c r="O360" s="46">
        <v>0</v>
      </c>
      <c r="P360" s="46">
        <v>0</v>
      </c>
      <c r="Q360" s="56"/>
      <c r="R360" s="56"/>
      <c r="S360" s="32"/>
      <c r="T360" s="32"/>
      <c r="U360" s="32"/>
    </row>
    <row r="361" spans="1:21" s="26" customFormat="1" hidden="1">
      <c r="A361" s="886"/>
      <c r="B361" s="889"/>
      <c r="C361" s="81" t="s">
        <v>14</v>
      </c>
      <c r="D361" s="45">
        <f t="shared" si="159"/>
        <v>0</v>
      </c>
      <c r="E361" s="46">
        <f t="shared" si="160"/>
        <v>0</v>
      </c>
      <c r="F361" s="46">
        <f t="shared" si="161"/>
        <v>0</v>
      </c>
      <c r="G361" s="46"/>
      <c r="H361" s="46"/>
      <c r="I361" s="46"/>
      <c r="J361" s="46"/>
      <c r="K361" s="46"/>
      <c r="L361" s="46"/>
      <c r="M361" s="46">
        <f t="shared" si="163"/>
        <v>0</v>
      </c>
      <c r="N361" s="46"/>
      <c r="O361" s="46"/>
      <c r="P361" s="46"/>
      <c r="Q361" s="56"/>
      <c r="R361" s="56"/>
      <c r="S361" s="32"/>
      <c r="T361" s="32"/>
      <c r="U361" s="32"/>
    </row>
    <row r="362" spans="1:21" s="26" customFormat="1" hidden="1">
      <c r="A362" s="887"/>
      <c r="B362" s="890"/>
      <c r="C362" s="81" t="s">
        <v>15</v>
      </c>
      <c r="D362" s="45">
        <f>D360+D361</f>
        <v>800000</v>
      </c>
      <c r="E362" s="46">
        <f t="shared" ref="E362:P362" si="167">E360+E361</f>
        <v>800000</v>
      </c>
      <c r="F362" s="46">
        <f t="shared" si="167"/>
        <v>800000</v>
      </c>
      <c r="G362" s="46">
        <f t="shared" si="167"/>
        <v>633600</v>
      </c>
      <c r="H362" s="46">
        <f t="shared" si="167"/>
        <v>166400</v>
      </c>
      <c r="I362" s="46">
        <f t="shared" si="167"/>
        <v>0</v>
      </c>
      <c r="J362" s="46">
        <f t="shared" si="167"/>
        <v>0</v>
      </c>
      <c r="K362" s="46">
        <f t="shared" si="167"/>
        <v>0</v>
      </c>
      <c r="L362" s="46">
        <f t="shared" si="167"/>
        <v>0</v>
      </c>
      <c r="M362" s="46">
        <f t="shared" si="167"/>
        <v>0</v>
      </c>
      <c r="N362" s="46">
        <f t="shared" si="167"/>
        <v>0</v>
      </c>
      <c r="O362" s="46">
        <f t="shared" si="167"/>
        <v>0</v>
      </c>
      <c r="P362" s="46">
        <f t="shared" si="167"/>
        <v>0</v>
      </c>
      <c r="Q362" s="56"/>
      <c r="R362" s="56"/>
      <c r="S362" s="32"/>
      <c r="T362" s="32"/>
      <c r="U362" s="32"/>
    </row>
    <row r="363" spans="1:21" s="26" customFormat="1" hidden="1">
      <c r="A363" s="885">
        <v>90020</v>
      </c>
      <c r="B363" s="888" t="s">
        <v>175</v>
      </c>
      <c r="C363" s="81" t="s">
        <v>13</v>
      </c>
      <c r="D363" s="45">
        <f t="shared" si="159"/>
        <v>22480</v>
      </c>
      <c r="E363" s="46">
        <f t="shared" si="160"/>
        <v>22480</v>
      </c>
      <c r="F363" s="46">
        <f t="shared" si="161"/>
        <v>22480</v>
      </c>
      <c r="G363" s="46">
        <v>18950</v>
      </c>
      <c r="H363" s="46">
        <f>1210+2320</f>
        <v>3530</v>
      </c>
      <c r="I363" s="46">
        <v>0</v>
      </c>
      <c r="J363" s="46">
        <v>0</v>
      </c>
      <c r="K363" s="46">
        <v>0</v>
      </c>
      <c r="L363" s="46">
        <v>0</v>
      </c>
      <c r="M363" s="46">
        <f t="shared" si="163"/>
        <v>0</v>
      </c>
      <c r="N363" s="46">
        <v>0</v>
      </c>
      <c r="O363" s="46">
        <v>0</v>
      </c>
      <c r="P363" s="46">
        <v>0</v>
      </c>
      <c r="Q363" s="56"/>
      <c r="R363" s="56"/>
      <c r="S363" s="32"/>
      <c r="T363" s="32"/>
      <c r="U363" s="32"/>
    </row>
    <row r="364" spans="1:21" s="26" customFormat="1" hidden="1">
      <c r="A364" s="886"/>
      <c r="B364" s="889"/>
      <c r="C364" s="81" t="s">
        <v>14</v>
      </c>
      <c r="D364" s="45">
        <f t="shared" si="159"/>
        <v>0</v>
      </c>
      <c r="E364" s="46">
        <f t="shared" si="160"/>
        <v>0</v>
      </c>
      <c r="F364" s="46">
        <f t="shared" si="161"/>
        <v>0</v>
      </c>
      <c r="G364" s="46"/>
      <c r="H364" s="46"/>
      <c r="I364" s="46"/>
      <c r="J364" s="46"/>
      <c r="K364" s="46"/>
      <c r="L364" s="46"/>
      <c r="M364" s="46">
        <f t="shared" si="163"/>
        <v>0</v>
      </c>
      <c r="N364" s="46"/>
      <c r="O364" s="46"/>
      <c r="P364" s="46"/>
      <c r="Q364" s="56"/>
      <c r="R364" s="56"/>
      <c r="S364" s="32"/>
      <c r="T364" s="32"/>
      <c r="U364" s="32"/>
    </row>
    <row r="365" spans="1:21" s="26" customFormat="1" hidden="1">
      <c r="A365" s="887"/>
      <c r="B365" s="890"/>
      <c r="C365" s="81" t="s">
        <v>15</v>
      </c>
      <c r="D365" s="45">
        <f>D363+D364</f>
        <v>22480</v>
      </c>
      <c r="E365" s="46">
        <f t="shared" ref="E365:P365" si="168">E363+E364</f>
        <v>22480</v>
      </c>
      <c r="F365" s="46">
        <f t="shared" si="168"/>
        <v>22480</v>
      </c>
      <c r="G365" s="46">
        <f t="shared" si="168"/>
        <v>18950</v>
      </c>
      <c r="H365" s="46">
        <f t="shared" si="168"/>
        <v>3530</v>
      </c>
      <c r="I365" s="46">
        <f t="shared" si="168"/>
        <v>0</v>
      </c>
      <c r="J365" s="46">
        <f t="shared" si="168"/>
        <v>0</v>
      </c>
      <c r="K365" s="46">
        <f t="shared" si="168"/>
        <v>0</v>
      </c>
      <c r="L365" s="46">
        <f t="shared" si="168"/>
        <v>0</v>
      </c>
      <c r="M365" s="46">
        <f t="shared" si="168"/>
        <v>0</v>
      </c>
      <c r="N365" s="46">
        <f t="shared" si="168"/>
        <v>0</v>
      </c>
      <c r="O365" s="46">
        <f t="shared" si="168"/>
        <v>0</v>
      </c>
      <c r="P365" s="46">
        <f t="shared" si="168"/>
        <v>0</v>
      </c>
      <c r="Q365" s="56"/>
      <c r="R365" s="56"/>
      <c r="S365" s="32"/>
      <c r="T365" s="32"/>
      <c r="U365" s="32"/>
    </row>
    <row r="366" spans="1:21" s="26" customFormat="1" hidden="1">
      <c r="A366" s="885">
        <v>90024</v>
      </c>
      <c r="B366" s="888" t="s">
        <v>176</v>
      </c>
      <c r="C366" s="81" t="s">
        <v>13</v>
      </c>
      <c r="D366" s="45">
        <f t="shared" si="159"/>
        <v>3510</v>
      </c>
      <c r="E366" s="46">
        <f t="shared" si="160"/>
        <v>3510</v>
      </c>
      <c r="F366" s="46">
        <f t="shared" si="161"/>
        <v>3510</v>
      </c>
      <c r="G366" s="46">
        <v>2000</v>
      </c>
      <c r="H366" s="46">
        <v>1510</v>
      </c>
      <c r="I366" s="46">
        <v>0</v>
      </c>
      <c r="J366" s="46">
        <v>0</v>
      </c>
      <c r="K366" s="46">
        <v>0</v>
      </c>
      <c r="L366" s="46">
        <v>0</v>
      </c>
      <c r="M366" s="46">
        <f t="shared" si="163"/>
        <v>0</v>
      </c>
      <c r="N366" s="46">
        <v>0</v>
      </c>
      <c r="O366" s="46">
        <v>0</v>
      </c>
      <c r="P366" s="46">
        <v>0</v>
      </c>
      <c r="Q366" s="56"/>
      <c r="R366" s="56"/>
      <c r="S366" s="32"/>
      <c r="T366" s="32"/>
      <c r="U366" s="32"/>
    </row>
    <row r="367" spans="1:21" s="26" customFormat="1" hidden="1">
      <c r="A367" s="886"/>
      <c r="B367" s="889"/>
      <c r="C367" s="81" t="s">
        <v>14</v>
      </c>
      <c r="D367" s="45">
        <f t="shared" si="159"/>
        <v>0</v>
      </c>
      <c r="E367" s="46">
        <f t="shared" si="160"/>
        <v>0</v>
      </c>
      <c r="F367" s="46">
        <f t="shared" si="161"/>
        <v>0</v>
      </c>
      <c r="G367" s="46"/>
      <c r="H367" s="46"/>
      <c r="I367" s="46"/>
      <c r="J367" s="46"/>
      <c r="K367" s="46"/>
      <c r="L367" s="46"/>
      <c r="M367" s="46">
        <f t="shared" si="163"/>
        <v>0</v>
      </c>
      <c r="N367" s="46"/>
      <c r="O367" s="46"/>
      <c r="P367" s="46"/>
      <c r="Q367" s="56"/>
      <c r="R367" s="56"/>
      <c r="S367" s="32"/>
      <c r="T367" s="32"/>
      <c r="U367" s="32"/>
    </row>
    <row r="368" spans="1:21" s="26" customFormat="1" hidden="1">
      <c r="A368" s="887"/>
      <c r="B368" s="890"/>
      <c r="C368" s="81" t="s">
        <v>15</v>
      </c>
      <c r="D368" s="45">
        <f>D366+D367</f>
        <v>3510</v>
      </c>
      <c r="E368" s="46">
        <f t="shared" ref="E368:P368" si="169">E366+E367</f>
        <v>3510</v>
      </c>
      <c r="F368" s="46">
        <f t="shared" si="169"/>
        <v>3510</v>
      </c>
      <c r="G368" s="46">
        <f t="shared" si="169"/>
        <v>2000</v>
      </c>
      <c r="H368" s="46">
        <f t="shared" si="169"/>
        <v>1510</v>
      </c>
      <c r="I368" s="46">
        <f t="shared" si="169"/>
        <v>0</v>
      </c>
      <c r="J368" s="46">
        <f t="shared" si="169"/>
        <v>0</v>
      </c>
      <c r="K368" s="46">
        <f t="shared" si="169"/>
        <v>0</v>
      </c>
      <c r="L368" s="46">
        <f t="shared" si="169"/>
        <v>0</v>
      </c>
      <c r="M368" s="46">
        <f t="shared" si="169"/>
        <v>0</v>
      </c>
      <c r="N368" s="46">
        <f t="shared" si="169"/>
        <v>0</v>
      </c>
      <c r="O368" s="46">
        <f t="shared" si="169"/>
        <v>0</v>
      </c>
      <c r="P368" s="46">
        <f t="shared" si="169"/>
        <v>0</v>
      </c>
      <c r="Q368" s="56"/>
      <c r="R368" s="56"/>
      <c r="S368" s="32"/>
      <c r="T368" s="32"/>
      <c r="U368" s="32"/>
    </row>
    <row r="369" spans="1:21" s="26" customFormat="1" hidden="1">
      <c r="A369" s="885">
        <v>90026</v>
      </c>
      <c r="B369" s="888" t="s">
        <v>194</v>
      </c>
      <c r="C369" s="81" t="s">
        <v>13</v>
      </c>
      <c r="D369" s="45">
        <f t="shared" si="159"/>
        <v>3212667</v>
      </c>
      <c r="E369" s="46">
        <f t="shared" si="160"/>
        <v>650320</v>
      </c>
      <c r="F369" s="46">
        <f t="shared" si="161"/>
        <v>150150</v>
      </c>
      <c r="G369" s="46">
        <v>118050</v>
      </c>
      <c r="H369" s="46">
        <f>30100+2000</f>
        <v>32100</v>
      </c>
      <c r="I369" s="46">
        <v>0</v>
      </c>
      <c r="J369" s="46">
        <v>0</v>
      </c>
      <c r="K369" s="46">
        <f>270000+15000+42560+5675+166935</f>
        <v>500170</v>
      </c>
      <c r="L369" s="46">
        <v>0</v>
      </c>
      <c r="M369" s="46">
        <f t="shared" si="163"/>
        <v>2562347</v>
      </c>
      <c r="N369" s="46">
        <v>2562347</v>
      </c>
      <c r="O369" s="46">
        <v>2562347</v>
      </c>
      <c r="P369" s="46">
        <v>0</v>
      </c>
      <c r="Q369" s="56"/>
      <c r="R369" s="56"/>
      <c r="S369" s="32"/>
      <c r="T369" s="32"/>
      <c r="U369" s="32"/>
    </row>
    <row r="370" spans="1:21" s="26" customFormat="1" hidden="1">
      <c r="A370" s="886"/>
      <c r="B370" s="889"/>
      <c r="C370" s="81" t="s">
        <v>14</v>
      </c>
      <c r="D370" s="45">
        <f t="shared" si="159"/>
        <v>0</v>
      </c>
      <c r="E370" s="46">
        <f t="shared" si="160"/>
        <v>0</v>
      </c>
      <c r="F370" s="46">
        <f t="shared" si="161"/>
        <v>0</v>
      </c>
      <c r="G370" s="46"/>
      <c r="H370" s="46"/>
      <c r="I370" s="46"/>
      <c r="J370" s="46"/>
      <c r="K370" s="46"/>
      <c r="L370" s="46"/>
      <c r="M370" s="46">
        <f t="shared" si="163"/>
        <v>0</v>
      </c>
      <c r="N370" s="46"/>
      <c r="O370" s="46"/>
      <c r="P370" s="46"/>
      <c r="Q370" s="56"/>
      <c r="R370" s="56"/>
      <c r="S370" s="32"/>
      <c r="T370" s="32"/>
      <c r="U370" s="32"/>
    </row>
    <row r="371" spans="1:21" s="26" customFormat="1" hidden="1">
      <c r="A371" s="887"/>
      <c r="B371" s="890"/>
      <c r="C371" s="81" t="s">
        <v>15</v>
      </c>
      <c r="D371" s="45">
        <f>D369+D370</f>
        <v>3212667</v>
      </c>
      <c r="E371" s="46">
        <f t="shared" ref="E371:P371" si="170">E369+E370</f>
        <v>650320</v>
      </c>
      <c r="F371" s="46">
        <f t="shared" si="170"/>
        <v>150150</v>
      </c>
      <c r="G371" s="46">
        <f t="shared" si="170"/>
        <v>118050</v>
      </c>
      <c r="H371" s="46">
        <f t="shared" si="170"/>
        <v>32100</v>
      </c>
      <c r="I371" s="46">
        <f t="shared" si="170"/>
        <v>0</v>
      </c>
      <c r="J371" s="46">
        <f t="shared" si="170"/>
        <v>0</v>
      </c>
      <c r="K371" s="46">
        <f t="shared" si="170"/>
        <v>500170</v>
      </c>
      <c r="L371" s="46">
        <f t="shared" si="170"/>
        <v>0</v>
      </c>
      <c r="M371" s="46">
        <f t="shared" si="170"/>
        <v>2562347</v>
      </c>
      <c r="N371" s="46">
        <f t="shared" si="170"/>
        <v>2562347</v>
      </c>
      <c r="O371" s="46">
        <f t="shared" si="170"/>
        <v>2562347</v>
      </c>
      <c r="P371" s="46">
        <f t="shared" si="170"/>
        <v>0</v>
      </c>
      <c r="Q371" s="56"/>
      <c r="R371" s="56"/>
      <c r="S371" s="32"/>
      <c r="T371" s="32"/>
      <c r="U371" s="32"/>
    </row>
    <row r="372" spans="1:21" s="50" customFormat="1" ht="14.85" customHeight="1">
      <c r="A372" s="885">
        <v>90095</v>
      </c>
      <c r="B372" s="888" t="s">
        <v>51</v>
      </c>
      <c r="C372" s="81" t="s">
        <v>13</v>
      </c>
      <c r="D372" s="45">
        <f t="shared" si="159"/>
        <v>13133348</v>
      </c>
      <c r="E372" s="46">
        <f t="shared" si="160"/>
        <v>1698320</v>
      </c>
      <c r="F372" s="46">
        <f t="shared" si="161"/>
        <v>1572175</v>
      </c>
      <c r="G372" s="46">
        <v>1046975</v>
      </c>
      <c r="H372" s="46">
        <v>525200</v>
      </c>
      <c r="I372" s="46">
        <v>100000</v>
      </c>
      <c r="J372" s="46">
        <v>0</v>
      </c>
      <c r="K372" s="46">
        <v>26145</v>
      </c>
      <c r="L372" s="46">
        <v>0</v>
      </c>
      <c r="M372" s="46">
        <f t="shared" si="163"/>
        <v>11435028</v>
      </c>
      <c r="N372" s="46">
        <f>11435028-3000000</f>
        <v>8435028</v>
      </c>
      <c r="O372" s="46">
        <f>699521+7735507</f>
        <v>8435028</v>
      </c>
      <c r="P372" s="46">
        <v>3000000</v>
      </c>
      <c r="Q372" s="74"/>
      <c r="R372" s="74"/>
      <c r="S372" s="49"/>
      <c r="T372" s="49"/>
      <c r="U372" s="49"/>
    </row>
    <row r="373" spans="1:21" s="50" customFormat="1" ht="14.85" customHeight="1">
      <c r="A373" s="886"/>
      <c r="B373" s="889"/>
      <c r="C373" s="81" t="s">
        <v>14</v>
      </c>
      <c r="D373" s="45">
        <f t="shared" si="159"/>
        <v>-730655</v>
      </c>
      <c r="E373" s="46">
        <f t="shared" si="160"/>
        <v>416</v>
      </c>
      <c r="F373" s="46">
        <f t="shared" si="161"/>
        <v>0</v>
      </c>
      <c r="G373" s="46"/>
      <c r="H373" s="46"/>
      <c r="I373" s="46"/>
      <c r="J373" s="46"/>
      <c r="K373" s="46">
        <f>416</f>
        <v>416</v>
      </c>
      <c r="L373" s="46"/>
      <c r="M373" s="46">
        <f t="shared" si="163"/>
        <v>-731071</v>
      </c>
      <c r="N373" s="46">
        <f>30631+738298</f>
        <v>768929</v>
      </c>
      <c r="O373" s="46">
        <v>768929</v>
      </c>
      <c r="P373" s="46">
        <v>-1500000</v>
      </c>
      <c r="Q373" s="74"/>
      <c r="R373" s="74"/>
      <c r="S373" s="49"/>
      <c r="T373" s="49"/>
      <c r="U373" s="49"/>
    </row>
    <row r="374" spans="1:21" s="50" customFormat="1" ht="14.85" customHeight="1">
      <c r="A374" s="887"/>
      <c r="B374" s="890"/>
      <c r="C374" s="81" t="s">
        <v>15</v>
      </c>
      <c r="D374" s="45">
        <f>D372+D373</f>
        <v>12402693</v>
      </c>
      <c r="E374" s="46">
        <f t="shared" ref="E374:P374" si="171">E372+E373</f>
        <v>1698736</v>
      </c>
      <c r="F374" s="46">
        <f t="shared" si="171"/>
        <v>1572175</v>
      </c>
      <c r="G374" s="46">
        <f t="shared" si="171"/>
        <v>1046975</v>
      </c>
      <c r="H374" s="46">
        <f t="shared" si="171"/>
        <v>525200</v>
      </c>
      <c r="I374" s="46">
        <f t="shared" si="171"/>
        <v>100000</v>
      </c>
      <c r="J374" s="46">
        <f t="shared" si="171"/>
        <v>0</v>
      </c>
      <c r="K374" s="46">
        <f t="shared" si="171"/>
        <v>26561</v>
      </c>
      <c r="L374" s="46">
        <f t="shared" si="171"/>
        <v>0</v>
      </c>
      <c r="M374" s="46">
        <f t="shared" si="171"/>
        <v>10703957</v>
      </c>
      <c r="N374" s="46">
        <f t="shared" si="171"/>
        <v>9203957</v>
      </c>
      <c r="O374" s="46">
        <f t="shared" si="171"/>
        <v>9203957</v>
      </c>
      <c r="P374" s="46">
        <f t="shared" si="171"/>
        <v>1500000</v>
      </c>
      <c r="Q374" s="74"/>
      <c r="R374" s="74"/>
      <c r="S374" s="49"/>
      <c r="T374" s="49"/>
      <c r="U374" s="49"/>
    </row>
    <row r="375" spans="1:21" s="28" customFormat="1" ht="14.85" customHeight="1">
      <c r="A375" s="877">
        <v>921</v>
      </c>
      <c r="B375" s="880" t="s">
        <v>39</v>
      </c>
      <c r="C375" s="80" t="s">
        <v>13</v>
      </c>
      <c r="D375" s="54">
        <f t="shared" ref="D375:P376" si="172">D381+D384+D387+D390+D393+D396+D399+D405+D402+D378</f>
        <v>133004066</v>
      </c>
      <c r="E375" s="44">
        <f t="shared" si="172"/>
        <v>98319622</v>
      </c>
      <c r="F375" s="44">
        <f t="shared" si="172"/>
        <v>4030584</v>
      </c>
      <c r="G375" s="44">
        <f t="shared" si="172"/>
        <v>141000</v>
      </c>
      <c r="H375" s="44">
        <f t="shared" si="172"/>
        <v>3889584</v>
      </c>
      <c r="I375" s="44">
        <f t="shared" si="172"/>
        <v>92285919</v>
      </c>
      <c r="J375" s="44">
        <f t="shared" si="172"/>
        <v>406000</v>
      </c>
      <c r="K375" s="44">
        <f t="shared" si="172"/>
        <v>1597119</v>
      </c>
      <c r="L375" s="44">
        <f t="shared" si="172"/>
        <v>0</v>
      </c>
      <c r="M375" s="44">
        <f t="shared" si="172"/>
        <v>34684444</v>
      </c>
      <c r="N375" s="44">
        <f t="shared" si="172"/>
        <v>34684444</v>
      </c>
      <c r="O375" s="44">
        <f t="shared" si="172"/>
        <v>19985694</v>
      </c>
      <c r="P375" s="44">
        <f t="shared" si="172"/>
        <v>0</v>
      </c>
      <c r="Q375" s="69"/>
      <c r="R375" s="69"/>
      <c r="S375" s="34"/>
      <c r="T375" s="34"/>
      <c r="U375" s="34"/>
    </row>
    <row r="376" spans="1:21" s="28" customFormat="1" ht="14.85" customHeight="1">
      <c r="A376" s="878"/>
      <c r="B376" s="881"/>
      <c r="C376" s="80" t="s">
        <v>14</v>
      </c>
      <c r="D376" s="54">
        <f t="shared" si="172"/>
        <v>-1327897</v>
      </c>
      <c r="E376" s="44">
        <f t="shared" si="172"/>
        <v>2878510</v>
      </c>
      <c r="F376" s="44">
        <f t="shared" si="172"/>
        <v>1000000</v>
      </c>
      <c r="G376" s="44">
        <f t="shared" si="172"/>
        <v>0</v>
      </c>
      <c r="H376" s="44">
        <f t="shared" si="172"/>
        <v>1000000</v>
      </c>
      <c r="I376" s="44">
        <f t="shared" si="172"/>
        <v>1219809</v>
      </c>
      <c r="J376" s="44">
        <f t="shared" si="172"/>
        <v>0</v>
      </c>
      <c r="K376" s="44">
        <f t="shared" si="172"/>
        <v>658701</v>
      </c>
      <c r="L376" s="44">
        <f t="shared" si="172"/>
        <v>0</v>
      </c>
      <c r="M376" s="44">
        <f t="shared" si="172"/>
        <v>-4206407</v>
      </c>
      <c r="N376" s="44">
        <f t="shared" si="172"/>
        <v>-4206407</v>
      </c>
      <c r="O376" s="44">
        <f t="shared" si="172"/>
        <v>-9750502</v>
      </c>
      <c r="P376" s="44">
        <f t="shared" si="172"/>
        <v>0</v>
      </c>
      <c r="Q376" s="69"/>
      <c r="R376" s="69"/>
      <c r="S376" s="34"/>
      <c r="T376" s="34"/>
      <c r="U376" s="34"/>
    </row>
    <row r="377" spans="1:21" s="28" customFormat="1" ht="14.85" customHeight="1">
      <c r="A377" s="879"/>
      <c r="B377" s="882"/>
      <c r="C377" s="80" t="s">
        <v>15</v>
      </c>
      <c r="D377" s="54">
        <f>D375+D376</f>
        <v>131676169</v>
      </c>
      <c r="E377" s="44">
        <f t="shared" ref="E377:P377" si="173">E375+E376</f>
        <v>101198132</v>
      </c>
      <c r="F377" s="44">
        <f t="shared" si="173"/>
        <v>5030584</v>
      </c>
      <c r="G377" s="44">
        <f t="shared" si="173"/>
        <v>141000</v>
      </c>
      <c r="H377" s="44">
        <f t="shared" si="173"/>
        <v>4889584</v>
      </c>
      <c r="I377" s="44">
        <f t="shared" si="173"/>
        <v>93505728</v>
      </c>
      <c r="J377" s="44">
        <f t="shared" si="173"/>
        <v>406000</v>
      </c>
      <c r="K377" s="44">
        <f t="shared" si="173"/>
        <v>2255820</v>
      </c>
      <c r="L377" s="44">
        <f t="shared" si="173"/>
        <v>0</v>
      </c>
      <c r="M377" s="44">
        <f t="shared" si="173"/>
        <v>30478037</v>
      </c>
      <c r="N377" s="44">
        <f t="shared" si="173"/>
        <v>30478037</v>
      </c>
      <c r="O377" s="44">
        <f t="shared" si="173"/>
        <v>10235192</v>
      </c>
      <c r="P377" s="44">
        <f t="shared" si="173"/>
        <v>0</v>
      </c>
      <c r="Q377" s="69"/>
      <c r="R377" s="69"/>
      <c r="S377" s="34"/>
      <c r="T377" s="34"/>
      <c r="U377" s="34"/>
    </row>
    <row r="378" spans="1:21" s="50" customFormat="1" ht="14.85" customHeight="1">
      <c r="A378" s="885">
        <v>92105</v>
      </c>
      <c r="B378" s="888" t="s">
        <v>190</v>
      </c>
      <c r="C378" s="81" t="s">
        <v>13</v>
      </c>
      <c r="D378" s="45">
        <f t="shared" ref="D378:D406" si="174">E378+M378</f>
        <v>470000</v>
      </c>
      <c r="E378" s="46">
        <f t="shared" ref="E378:E406" si="175">F378+I378+J378+K378+L378</f>
        <v>470000</v>
      </c>
      <c r="F378" s="46">
        <f t="shared" ref="F378:F406" si="176">G378+H378</f>
        <v>0</v>
      </c>
      <c r="G378" s="46">
        <v>0</v>
      </c>
      <c r="H378" s="46">
        <v>0</v>
      </c>
      <c r="I378" s="46">
        <v>470000</v>
      </c>
      <c r="J378" s="46">
        <v>0</v>
      </c>
      <c r="K378" s="46">
        <v>0</v>
      </c>
      <c r="L378" s="46">
        <v>0</v>
      </c>
      <c r="M378" s="46">
        <f t="shared" ref="M378:M406" si="177">N378+P378</f>
        <v>0</v>
      </c>
      <c r="N378" s="46">
        <v>0</v>
      </c>
      <c r="O378" s="46">
        <v>0</v>
      </c>
      <c r="P378" s="46">
        <v>0</v>
      </c>
      <c r="Q378" s="74"/>
      <c r="R378" s="74"/>
      <c r="S378" s="49"/>
      <c r="T378" s="49"/>
      <c r="U378" s="49"/>
    </row>
    <row r="379" spans="1:21" s="50" customFormat="1" ht="14.85" customHeight="1">
      <c r="A379" s="886"/>
      <c r="B379" s="889"/>
      <c r="C379" s="81" t="s">
        <v>14</v>
      </c>
      <c r="D379" s="45">
        <f t="shared" si="174"/>
        <v>20000</v>
      </c>
      <c r="E379" s="46">
        <f t="shared" si="175"/>
        <v>0</v>
      </c>
      <c r="F379" s="46">
        <f t="shared" si="176"/>
        <v>0</v>
      </c>
      <c r="G379" s="46"/>
      <c r="H379" s="46"/>
      <c r="I379" s="46"/>
      <c r="J379" s="46"/>
      <c r="K379" s="46"/>
      <c r="L379" s="46"/>
      <c r="M379" s="46">
        <f t="shared" si="177"/>
        <v>20000</v>
      </c>
      <c r="N379" s="46">
        <v>20000</v>
      </c>
      <c r="O379" s="46"/>
      <c r="P379" s="46"/>
      <c r="Q379" s="74"/>
      <c r="R379" s="74"/>
      <c r="S379" s="49"/>
      <c r="T379" s="49"/>
      <c r="U379" s="49"/>
    </row>
    <row r="380" spans="1:21" s="50" customFormat="1" ht="14.85" customHeight="1">
      <c r="A380" s="887"/>
      <c r="B380" s="890"/>
      <c r="C380" s="81" t="s">
        <v>15</v>
      </c>
      <c r="D380" s="45">
        <f>D378+D379</f>
        <v>490000</v>
      </c>
      <c r="E380" s="46">
        <f t="shared" ref="E380:P380" si="178">E378+E379</f>
        <v>470000</v>
      </c>
      <c r="F380" s="46">
        <f t="shared" si="178"/>
        <v>0</v>
      </c>
      <c r="G380" s="46">
        <f t="shared" si="178"/>
        <v>0</v>
      </c>
      <c r="H380" s="46">
        <f t="shared" si="178"/>
        <v>0</v>
      </c>
      <c r="I380" s="46">
        <f t="shared" si="178"/>
        <v>470000</v>
      </c>
      <c r="J380" s="46">
        <f t="shared" si="178"/>
        <v>0</v>
      </c>
      <c r="K380" s="46">
        <f t="shared" si="178"/>
        <v>0</v>
      </c>
      <c r="L380" s="46">
        <f t="shared" si="178"/>
        <v>0</v>
      </c>
      <c r="M380" s="46">
        <f t="shared" si="178"/>
        <v>20000</v>
      </c>
      <c r="N380" s="46">
        <f t="shared" si="178"/>
        <v>20000</v>
      </c>
      <c r="O380" s="46">
        <f t="shared" si="178"/>
        <v>0</v>
      </c>
      <c r="P380" s="46">
        <f t="shared" si="178"/>
        <v>0</v>
      </c>
      <c r="Q380" s="74"/>
      <c r="R380" s="74"/>
      <c r="S380" s="49"/>
      <c r="T380" s="49"/>
      <c r="U380" s="49"/>
    </row>
    <row r="381" spans="1:21" s="50" customFormat="1" ht="14.85" customHeight="1">
      <c r="A381" s="885">
        <v>92106</v>
      </c>
      <c r="B381" s="888" t="s">
        <v>177</v>
      </c>
      <c r="C381" s="81" t="s">
        <v>13</v>
      </c>
      <c r="D381" s="45">
        <f t="shared" si="174"/>
        <v>33730267</v>
      </c>
      <c r="E381" s="46">
        <f t="shared" si="175"/>
        <v>29679641</v>
      </c>
      <c r="F381" s="46">
        <f t="shared" si="176"/>
        <v>0</v>
      </c>
      <c r="G381" s="46">
        <v>0</v>
      </c>
      <c r="H381" s="46">
        <v>0</v>
      </c>
      <c r="I381" s="46">
        <v>29679641</v>
      </c>
      <c r="J381" s="46">
        <v>0</v>
      </c>
      <c r="K381" s="46">
        <v>0</v>
      </c>
      <c r="L381" s="46">
        <v>0</v>
      </c>
      <c r="M381" s="46">
        <f t="shared" si="177"/>
        <v>4050626</v>
      </c>
      <c r="N381" s="46">
        <v>4050626</v>
      </c>
      <c r="O381" s="46">
        <v>0</v>
      </c>
      <c r="P381" s="46">
        <v>0</v>
      </c>
      <c r="Q381" s="74"/>
      <c r="R381" s="74"/>
      <c r="S381" s="49"/>
      <c r="T381" s="49"/>
      <c r="U381" s="49"/>
    </row>
    <row r="382" spans="1:21" s="50" customFormat="1" ht="14.85" customHeight="1">
      <c r="A382" s="886"/>
      <c r="B382" s="889"/>
      <c r="C382" s="81" t="s">
        <v>14</v>
      </c>
      <c r="D382" s="45">
        <f t="shared" si="174"/>
        <v>3473452</v>
      </c>
      <c r="E382" s="46">
        <f t="shared" si="175"/>
        <v>180067</v>
      </c>
      <c r="F382" s="46">
        <f t="shared" si="176"/>
        <v>0</v>
      </c>
      <c r="G382" s="46"/>
      <c r="H382" s="46"/>
      <c r="I382" s="46">
        <v>180067</v>
      </c>
      <c r="J382" s="46"/>
      <c r="K382" s="46"/>
      <c r="L382" s="46"/>
      <c r="M382" s="46">
        <f t="shared" si="177"/>
        <v>3293385</v>
      </c>
      <c r="N382" s="46">
        <v>3293385</v>
      </c>
      <c r="O382" s="46"/>
      <c r="P382" s="46"/>
      <c r="Q382" s="74"/>
      <c r="R382" s="74"/>
      <c r="S382" s="49"/>
      <c r="T382" s="49"/>
      <c r="U382" s="49"/>
    </row>
    <row r="383" spans="1:21" s="50" customFormat="1" ht="14.85" customHeight="1">
      <c r="A383" s="887"/>
      <c r="B383" s="890"/>
      <c r="C383" s="81" t="s">
        <v>15</v>
      </c>
      <c r="D383" s="45">
        <f>D381+D382</f>
        <v>37203719</v>
      </c>
      <c r="E383" s="46">
        <f t="shared" ref="E383:P383" si="179">E381+E382</f>
        <v>29859708</v>
      </c>
      <c r="F383" s="46">
        <f t="shared" si="179"/>
        <v>0</v>
      </c>
      <c r="G383" s="46">
        <f t="shared" si="179"/>
        <v>0</v>
      </c>
      <c r="H383" s="46">
        <f t="shared" si="179"/>
        <v>0</v>
      </c>
      <c r="I383" s="46">
        <f t="shared" si="179"/>
        <v>29859708</v>
      </c>
      <c r="J383" s="46">
        <f t="shared" si="179"/>
        <v>0</v>
      </c>
      <c r="K383" s="46">
        <f t="shared" si="179"/>
        <v>0</v>
      </c>
      <c r="L383" s="46">
        <f t="shared" si="179"/>
        <v>0</v>
      </c>
      <c r="M383" s="46">
        <f t="shared" si="179"/>
        <v>7344011</v>
      </c>
      <c r="N383" s="46">
        <f t="shared" si="179"/>
        <v>7344011</v>
      </c>
      <c r="O383" s="46">
        <f t="shared" si="179"/>
        <v>0</v>
      </c>
      <c r="P383" s="46">
        <f t="shared" si="179"/>
        <v>0</v>
      </c>
      <c r="Q383" s="74"/>
      <c r="R383" s="74"/>
      <c r="S383" s="49"/>
      <c r="T383" s="49"/>
      <c r="U383" s="49"/>
    </row>
    <row r="384" spans="1:21" s="50" customFormat="1" ht="14.85" customHeight="1">
      <c r="A384" s="885">
        <v>92108</v>
      </c>
      <c r="B384" s="888" t="s">
        <v>178</v>
      </c>
      <c r="C384" s="81" t="s">
        <v>13</v>
      </c>
      <c r="D384" s="45">
        <f t="shared" si="174"/>
        <v>19767002</v>
      </c>
      <c r="E384" s="46">
        <f t="shared" si="175"/>
        <v>10016500</v>
      </c>
      <c r="F384" s="46">
        <f t="shared" si="176"/>
        <v>0</v>
      </c>
      <c r="G384" s="46">
        <v>0</v>
      </c>
      <c r="H384" s="46">
        <v>0</v>
      </c>
      <c r="I384" s="46">
        <v>10016500</v>
      </c>
      <c r="J384" s="46">
        <v>0</v>
      </c>
      <c r="K384" s="46">
        <v>0</v>
      </c>
      <c r="L384" s="46">
        <v>0</v>
      </c>
      <c r="M384" s="46">
        <f t="shared" si="177"/>
        <v>9750502</v>
      </c>
      <c r="N384" s="46">
        <f>8287927+1462575</f>
        <v>9750502</v>
      </c>
      <c r="O384" s="46">
        <v>9750502</v>
      </c>
      <c r="P384" s="46">
        <v>0</v>
      </c>
      <c r="Q384" s="74"/>
      <c r="R384" s="74"/>
      <c r="S384" s="49"/>
      <c r="T384" s="49"/>
      <c r="U384" s="49"/>
    </row>
    <row r="385" spans="1:21" s="50" customFormat="1" ht="14.85" customHeight="1">
      <c r="A385" s="886"/>
      <c r="B385" s="889"/>
      <c r="C385" s="81" t="s">
        <v>14</v>
      </c>
      <c r="D385" s="45">
        <f t="shared" si="174"/>
        <v>-7830027</v>
      </c>
      <c r="E385" s="46">
        <f t="shared" si="175"/>
        <v>0</v>
      </c>
      <c r="F385" s="46">
        <f t="shared" si="176"/>
        <v>0</v>
      </c>
      <c r="G385" s="46"/>
      <c r="H385" s="46"/>
      <c r="I385" s="46"/>
      <c r="J385" s="46"/>
      <c r="K385" s="46"/>
      <c r="L385" s="46"/>
      <c r="M385" s="46">
        <f t="shared" si="177"/>
        <v>-7830027</v>
      </c>
      <c r="N385" s="46">
        <f>1920475-9750502</f>
        <v>-7830027</v>
      </c>
      <c r="O385" s="46">
        <f>-8287927-1462575</f>
        <v>-9750502</v>
      </c>
      <c r="P385" s="46"/>
      <c r="Q385" s="74"/>
      <c r="R385" s="74"/>
      <c r="S385" s="49"/>
      <c r="T385" s="49"/>
      <c r="U385" s="49"/>
    </row>
    <row r="386" spans="1:21" s="50" customFormat="1" ht="14.85" customHeight="1">
      <c r="A386" s="887"/>
      <c r="B386" s="890"/>
      <c r="C386" s="79" t="s">
        <v>15</v>
      </c>
      <c r="D386" s="45">
        <f>D384+D385</f>
        <v>11936975</v>
      </c>
      <c r="E386" s="46">
        <f t="shared" ref="E386:P386" si="180">E384+E385</f>
        <v>10016500</v>
      </c>
      <c r="F386" s="46">
        <f t="shared" si="180"/>
        <v>0</v>
      </c>
      <c r="G386" s="46">
        <f t="shared" si="180"/>
        <v>0</v>
      </c>
      <c r="H386" s="46">
        <f t="shared" si="180"/>
        <v>0</v>
      </c>
      <c r="I386" s="46">
        <f t="shared" si="180"/>
        <v>10016500</v>
      </c>
      <c r="J386" s="46">
        <f t="shared" si="180"/>
        <v>0</v>
      </c>
      <c r="K386" s="46">
        <f t="shared" si="180"/>
        <v>0</v>
      </c>
      <c r="L386" s="46">
        <f t="shared" si="180"/>
        <v>0</v>
      </c>
      <c r="M386" s="46">
        <f t="shared" si="180"/>
        <v>1920475</v>
      </c>
      <c r="N386" s="46">
        <f t="shared" si="180"/>
        <v>1920475</v>
      </c>
      <c r="O386" s="46">
        <f t="shared" si="180"/>
        <v>0</v>
      </c>
      <c r="P386" s="46">
        <f t="shared" si="180"/>
        <v>0</v>
      </c>
      <c r="Q386" s="74"/>
      <c r="R386" s="74"/>
      <c r="S386" s="49"/>
      <c r="T386" s="49"/>
      <c r="U386" s="49"/>
    </row>
    <row r="387" spans="1:21" s="50" customFormat="1" ht="14.85" customHeight="1">
      <c r="A387" s="885">
        <v>92109</v>
      </c>
      <c r="B387" s="888" t="s">
        <v>179</v>
      </c>
      <c r="C387" s="81" t="s">
        <v>13</v>
      </c>
      <c r="D387" s="45">
        <f t="shared" si="174"/>
        <v>7577835</v>
      </c>
      <c r="E387" s="46">
        <f t="shared" si="175"/>
        <v>7224552</v>
      </c>
      <c r="F387" s="46">
        <f t="shared" si="176"/>
        <v>0</v>
      </c>
      <c r="G387" s="46">
        <v>0</v>
      </c>
      <c r="H387" s="46">
        <v>0</v>
      </c>
      <c r="I387" s="46">
        <v>7224552</v>
      </c>
      <c r="J387" s="46">
        <v>0</v>
      </c>
      <c r="K387" s="46">
        <v>0</v>
      </c>
      <c r="L387" s="46">
        <v>0</v>
      </c>
      <c r="M387" s="46">
        <f t="shared" si="177"/>
        <v>353283</v>
      </c>
      <c r="N387" s="46">
        <v>353283</v>
      </c>
      <c r="O387" s="46">
        <v>0</v>
      </c>
      <c r="P387" s="46">
        <v>0</v>
      </c>
      <c r="Q387" s="74"/>
      <c r="R387" s="74"/>
      <c r="S387" s="49"/>
      <c r="T387" s="49"/>
      <c r="U387" s="49"/>
    </row>
    <row r="388" spans="1:21" s="50" customFormat="1" ht="14.85" customHeight="1">
      <c r="A388" s="886"/>
      <c r="B388" s="889"/>
      <c r="C388" s="81" t="s">
        <v>14</v>
      </c>
      <c r="D388" s="45">
        <f t="shared" si="174"/>
        <v>565059</v>
      </c>
      <c r="E388" s="46">
        <f t="shared" si="175"/>
        <v>537000</v>
      </c>
      <c r="F388" s="46">
        <f t="shared" si="176"/>
        <v>0</v>
      </c>
      <c r="G388" s="46"/>
      <c r="H388" s="46"/>
      <c r="I388" s="46">
        <v>537000</v>
      </c>
      <c r="J388" s="46"/>
      <c r="K388" s="46"/>
      <c r="L388" s="46"/>
      <c r="M388" s="46">
        <f t="shared" si="177"/>
        <v>28059</v>
      </c>
      <c r="N388" s="46">
        <v>28059</v>
      </c>
      <c r="O388" s="46"/>
      <c r="P388" s="46"/>
      <c r="Q388" s="74"/>
      <c r="R388" s="74"/>
      <c r="S388" s="49"/>
      <c r="T388" s="49"/>
      <c r="U388" s="49"/>
    </row>
    <row r="389" spans="1:21" s="50" customFormat="1" ht="14.85" customHeight="1">
      <c r="A389" s="887"/>
      <c r="B389" s="890"/>
      <c r="C389" s="79" t="s">
        <v>15</v>
      </c>
      <c r="D389" s="45">
        <f>D387+D388</f>
        <v>8142894</v>
      </c>
      <c r="E389" s="46">
        <f t="shared" ref="E389:P389" si="181">E387+E388</f>
        <v>7761552</v>
      </c>
      <c r="F389" s="46">
        <f t="shared" si="181"/>
        <v>0</v>
      </c>
      <c r="G389" s="46">
        <f t="shared" si="181"/>
        <v>0</v>
      </c>
      <c r="H389" s="46">
        <f t="shared" si="181"/>
        <v>0</v>
      </c>
      <c r="I389" s="46">
        <f t="shared" si="181"/>
        <v>7761552</v>
      </c>
      <c r="J389" s="46">
        <f t="shared" si="181"/>
        <v>0</v>
      </c>
      <c r="K389" s="46">
        <f t="shared" si="181"/>
        <v>0</v>
      </c>
      <c r="L389" s="46">
        <f t="shared" si="181"/>
        <v>0</v>
      </c>
      <c r="M389" s="46">
        <f t="shared" si="181"/>
        <v>381342</v>
      </c>
      <c r="N389" s="46">
        <f t="shared" si="181"/>
        <v>381342</v>
      </c>
      <c r="O389" s="46">
        <f t="shared" si="181"/>
        <v>0</v>
      </c>
      <c r="P389" s="46">
        <f t="shared" si="181"/>
        <v>0</v>
      </c>
      <c r="Q389" s="74"/>
      <c r="R389" s="74"/>
      <c r="S389" s="49"/>
      <c r="T389" s="49"/>
      <c r="U389" s="49"/>
    </row>
    <row r="390" spans="1:21" s="50" customFormat="1" ht="13.5" customHeight="1">
      <c r="A390" s="885">
        <v>92110</v>
      </c>
      <c r="B390" s="888" t="s">
        <v>180</v>
      </c>
      <c r="C390" s="81" t="s">
        <v>13</v>
      </c>
      <c r="D390" s="45">
        <f t="shared" si="174"/>
        <v>2519000</v>
      </c>
      <c r="E390" s="46">
        <f t="shared" si="175"/>
        <v>2460000</v>
      </c>
      <c r="F390" s="46">
        <f t="shared" si="176"/>
        <v>0</v>
      </c>
      <c r="G390" s="46">
        <v>0</v>
      </c>
      <c r="H390" s="46">
        <v>0</v>
      </c>
      <c r="I390" s="46">
        <v>2460000</v>
      </c>
      <c r="J390" s="46">
        <v>0</v>
      </c>
      <c r="K390" s="46">
        <v>0</v>
      </c>
      <c r="L390" s="46">
        <v>0</v>
      </c>
      <c r="M390" s="46">
        <f t="shared" si="177"/>
        <v>59000</v>
      </c>
      <c r="N390" s="46">
        <v>59000</v>
      </c>
      <c r="O390" s="46">
        <v>0</v>
      </c>
      <c r="P390" s="46">
        <v>0</v>
      </c>
      <c r="Q390" s="74"/>
      <c r="R390" s="74"/>
      <c r="S390" s="49"/>
      <c r="T390" s="49"/>
      <c r="U390" s="49"/>
    </row>
    <row r="391" spans="1:21" s="50" customFormat="1" ht="13.5" customHeight="1">
      <c r="A391" s="886"/>
      <c r="B391" s="889"/>
      <c r="C391" s="81" t="s">
        <v>14</v>
      </c>
      <c r="D391" s="45">
        <f t="shared" si="174"/>
        <v>43846</v>
      </c>
      <c r="E391" s="46">
        <f t="shared" si="175"/>
        <v>43846</v>
      </c>
      <c r="F391" s="46">
        <f t="shared" si="176"/>
        <v>0</v>
      </c>
      <c r="G391" s="46"/>
      <c r="H391" s="46"/>
      <c r="I391" s="46">
        <v>43846</v>
      </c>
      <c r="J391" s="46"/>
      <c r="K391" s="46"/>
      <c r="L391" s="46"/>
      <c r="M391" s="46">
        <f t="shared" si="177"/>
        <v>0</v>
      </c>
      <c r="N391" s="46"/>
      <c r="O391" s="46"/>
      <c r="P391" s="46"/>
      <c r="Q391" s="74"/>
      <c r="R391" s="74"/>
      <c r="S391" s="49"/>
      <c r="T391" s="49"/>
      <c r="U391" s="49"/>
    </row>
    <row r="392" spans="1:21" s="50" customFormat="1" ht="13.5" customHeight="1">
      <c r="A392" s="887"/>
      <c r="B392" s="890"/>
      <c r="C392" s="81" t="s">
        <v>15</v>
      </c>
      <c r="D392" s="45">
        <f>D390+D391</f>
        <v>2562846</v>
      </c>
      <c r="E392" s="46">
        <f t="shared" ref="E392:P392" si="182">E390+E391</f>
        <v>2503846</v>
      </c>
      <c r="F392" s="46">
        <f t="shared" si="182"/>
        <v>0</v>
      </c>
      <c r="G392" s="46">
        <f t="shared" si="182"/>
        <v>0</v>
      </c>
      <c r="H392" s="46">
        <f t="shared" si="182"/>
        <v>0</v>
      </c>
      <c r="I392" s="46">
        <f t="shared" si="182"/>
        <v>2503846</v>
      </c>
      <c r="J392" s="46">
        <f t="shared" si="182"/>
        <v>0</v>
      </c>
      <c r="K392" s="46">
        <f t="shared" si="182"/>
        <v>0</v>
      </c>
      <c r="L392" s="46">
        <f t="shared" si="182"/>
        <v>0</v>
      </c>
      <c r="M392" s="46">
        <f t="shared" si="182"/>
        <v>59000</v>
      </c>
      <c r="N392" s="46">
        <f t="shared" si="182"/>
        <v>59000</v>
      </c>
      <c r="O392" s="46">
        <f t="shared" si="182"/>
        <v>0</v>
      </c>
      <c r="P392" s="46">
        <f t="shared" si="182"/>
        <v>0</v>
      </c>
      <c r="Q392" s="74"/>
      <c r="R392" s="74"/>
      <c r="S392" s="49"/>
      <c r="T392" s="49"/>
      <c r="U392" s="49"/>
    </row>
    <row r="393" spans="1:21" s="50" customFormat="1" ht="13.5" hidden="1" customHeight="1">
      <c r="A393" s="885">
        <v>92113</v>
      </c>
      <c r="B393" s="888" t="s">
        <v>181</v>
      </c>
      <c r="C393" s="81" t="s">
        <v>13</v>
      </c>
      <c r="D393" s="45">
        <f t="shared" si="174"/>
        <v>1299500</v>
      </c>
      <c r="E393" s="46">
        <f t="shared" si="175"/>
        <v>1299500</v>
      </c>
      <c r="F393" s="46">
        <f t="shared" si="176"/>
        <v>0</v>
      </c>
      <c r="G393" s="46">
        <v>0</v>
      </c>
      <c r="H393" s="46">
        <v>0</v>
      </c>
      <c r="I393" s="46">
        <v>1299500</v>
      </c>
      <c r="J393" s="46">
        <v>0</v>
      </c>
      <c r="K393" s="46">
        <v>0</v>
      </c>
      <c r="L393" s="46">
        <v>0</v>
      </c>
      <c r="M393" s="46">
        <f t="shared" si="177"/>
        <v>0</v>
      </c>
      <c r="N393" s="46">
        <v>0</v>
      </c>
      <c r="O393" s="46">
        <v>0</v>
      </c>
      <c r="P393" s="46">
        <v>0</v>
      </c>
      <c r="Q393" s="74"/>
      <c r="R393" s="74"/>
      <c r="S393" s="49"/>
      <c r="T393" s="49"/>
      <c r="U393" s="49"/>
    </row>
    <row r="394" spans="1:21" s="50" customFormat="1" ht="13.5" hidden="1" customHeight="1">
      <c r="A394" s="886"/>
      <c r="B394" s="889"/>
      <c r="C394" s="81" t="s">
        <v>14</v>
      </c>
      <c r="D394" s="45">
        <f t="shared" si="174"/>
        <v>0</v>
      </c>
      <c r="E394" s="46">
        <f t="shared" si="175"/>
        <v>0</v>
      </c>
      <c r="F394" s="46">
        <f t="shared" si="176"/>
        <v>0</v>
      </c>
      <c r="G394" s="46"/>
      <c r="H394" s="46"/>
      <c r="I394" s="46"/>
      <c r="J394" s="46"/>
      <c r="K394" s="46"/>
      <c r="L394" s="46"/>
      <c r="M394" s="46">
        <f t="shared" si="177"/>
        <v>0</v>
      </c>
      <c r="N394" s="46"/>
      <c r="O394" s="46"/>
      <c r="P394" s="46"/>
      <c r="Q394" s="74"/>
      <c r="R394" s="74"/>
      <c r="S394" s="49"/>
      <c r="T394" s="49"/>
      <c r="U394" s="49"/>
    </row>
    <row r="395" spans="1:21" s="50" customFormat="1" ht="13.5" hidden="1" customHeight="1">
      <c r="A395" s="887"/>
      <c r="B395" s="890"/>
      <c r="C395" s="81" t="s">
        <v>15</v>
      </c>
      <c r="D395" s="45">
        <f>D393+D394</f>
        <v>1299500</v>
      </c>
      <c r="E395" s="46">
        <f t="shared" ref="E395:P395" si="183">E393+E394</f>
        <v>1299500</v>
      </c>
      <c r="F395" s="46">
        <f t="shared" si="183"/>
        <v>0</v>
      </c>
      <c r="G395" s="46">
        <f t="shared" si="183"/>
        <v>0</v>
      </c>
      <c r="H395" s="46">
        <f t="shared" si="183"/>
        <v>0</v>
      </c>
      <c r="I395" s="46">
        <f t="shared" si="183"/>
        <v>1299500</v>
      </c>
      <c r="J395" s="46">
        <f t="shared" si="183"/>
        <v>0</v>
      </c>
      <c r="K395" s="46">
        <f t="shared" si="183"/>
        <v>0</v>
      </c>
      <c r="L395" s="46">
        <f t="shared" si="183"/>
        <v>0</v>
      </c>
      <c r="M395" s="46">
        <f t="shared" si="183"/>
        <v>0</v>
      </c>
      <c r="N395" s="46">
        <f t="shared" si="183"/>
        <v>0</v>
      </c>
      <c r="O395" s="46">
        <f t="shared" si="183"/>
        <v>0</v>
      </c>
      <c r="P395" s="46">
        <f t="shared" si="183"/>
        <v>0</v>
      </c>
      <c r="Q395" s="74"/>
      <c r="R395" s="74"/>
      <c r="S395" s="49"/>
      <c r="T395" s="49"/>
      <c r="U395" s="49"/>
    </row>
    <row r="396" spans="1:21" s="50" customFormat="1" ht="13.5" customHeight="1">
      <c r="A396" s="885">
        <v>92116</v>
      </c>
      <c r="B396" s="888" t="s">
        <v>182</v>
      </c>
      <c r="C396" s="81" t="s">
        <v>13</v>
      </c>
      <c r="D396" s="45">
        <f t="shared" si="174"/>
        <v>22002800</v>
      </c>
      <c r="E396" s="46">
        <f t="shared" si="175"/>
        <v>21952300</v>
      </c>
      <c r="F396" s="46">
        <f t="shared" si="176"/>
        <v>0</v>
      </c>
      <c r="G396" s="46">
        <v>0</v>
      </c>
      <c r="H396" s="46">
        <v>0</v>
      </c>
      <c r="I396" s="46">
        <v>21952300</v>
      </c>
      <c r="J396" s="46">
        <v>0</v>
      </c>
      <c r="K396" s="46">
        <v>0</v>
      </c>
      <c r="L396" s="46">
        <v>0</v>
      </c>
      <c r="M396" s="46">
        <f t="shared" si="177"/>
        <v>50500</v>
      </c>
      <c r="N396" s="46">
        <v>50500</v>
      </c>
      <c r="O396" s="46">
        <v>0</v>
      </c>
      <c r="P396" s="46">
        <v>0</v>
      </c>
      <c r="Q396" s="74"/>
      <c r="R396" s="74"/>
      <c r="S396" s="49"/>
      <c r="T396" s="49"/>
      <c r="U396" s="49"/>
    </row>
    <row r="397" spans="1:21" s="50" customFormat="1" ht="13.5" customHeight="1">
      <c r="A397" s="886"/>
      <c r="B397" s="889"/>
      <c r="C397" s="81" t="s">
        <v>14</v>
      </c>
      <c r="D397" s="45">
        <f t="shared" si="174"/>
        <v>247500</v>
      </c>
      <c r="E397" s="46">
        <f t="shared" si="175"/>
        <v>92100</v>
      </c>
      <c r="F397" s="46">
        <f t="shared" si="176"/>
        <v>0</v>
      </c>
      <c r="G397" s="46"/>
      <c r="H397" s="46"/>
      <c r="I397" s="46">
        <v>92100</v>
      </c>
      <c r="J397" s="46"/>
      <c r="K397" s="46"/>
      <c r="L397" s="46"/>
      <c r="M397" s="46">
        <f t="shared" si="177"/>
        <v>155400</v>
      </c>
      <c r="N397" s="46">
        <v>155400</v>
      </c>
      <c r="O397" s="46"/>
      <c r="P397" s="46"/>
      <c r="Q397" s="74"/>
      <c r="R397" s="74"/>
      <c r="S397" s="49"/>
      <c r="T397" s="49"/>
      <c r="U397" s="49"/>
    </row>
    <row r="398" spans="1:21" s="50" customFormat="1" ht="13.5" customHeight="1">
      <c r="A398" s="887"/>
      <c r="B398" s="890"/>
      <c r="C398" s="81" t="s">
        <v>15</v>
      </c>
      <c r="D398" s="45">
        <f>D396+D397</f>
        <v>22250300</v>
      </c>
      <c r="E398" s="46">
        <f t="shared" ref="E398:P398" si="184">E396+E397</f>
        <v>22044400</v>
      </c>
      <c r="F398" s="46">
        <f t="shared" si="184"/>
        <v>0</v>
      </c>
      <c r="G398" s="46">
        <f t="shared" si="184"/>
        <v>0</v>
      </c>
      <c r="H398" s="46">
        <f t="shared" si="184"/>
        <v>0</v>
      </c>
      <c r="I398" s="46">
        <f t="shared" si="184"/>
        <v>22044400</v>
      </c>
      <c r="J398" s="46">
        <f t="shared" si="184"/>
        <v>0</v>
      </c>
      <c r="K398" s="46">
        <f t="shared" si="184"/>
        <v>0</v>
      </c>
      <c r="L398" s="46">
        <f t="shared" si="184"/>
        <v>0</v>
      </c>
      <c r="M398" s="46">
        <f t="shared" si="184"/>
        <v>205900</v>
      </c>
      <c r="N398" s="46">
        <f t="shared" si="184"/>
        <v>205900</v>
      </c>
      <c r="O398" s="46">
        <f t="shared" si="184"/>
        <v>0</v>
      </c>
      <c r="P398" s="46">
        <f t="shared" si="184"/>
        <v>0</v>
      </c>
      <c r="Q398" s="74"/>
      <c r="R398" s="74"/>
      <c r="S398" s="49"/>
      <c r="T398" s="49"/>
      <c r="U398" s="49"/>
    </row>
    <row r="399" spans="1:21" s="50" customFormat="1" ht="13.5" customHeight="1">
      <c r="A399" s="885">
        <v>92118</v>
      </c>
      <c r="B399" s="888" t="s">
        <v>183</v>
      </c>
      <c r="C399" s="81" t="s">
        <v>13</v>
      </c>
      <c r="D399" s="45">
        <f t="shared" si="174"/>
        <v>15688578</v>
      </c>
      <c r="E399" s="46">
        <f t="shared" si="175"/>
        <v>14868426</v>
      </c>
      <c r="F399" s="46">
        <f t="shared" si="176"/>
        <v>0</v>
      </c>
      <c r="G399" s="46">
        <v>0</v>
      </c>
      <c r="H399" s="46">
        <v>0</v>
      </c>
      <c r="I399" s="46">
        <v>14868426</v>
      </c>
      <c r="J399" s="46">
        <v>0</v>
      </c>
      <c r="K399" s="46">
        <v>0</v>
      </c>
      <c r="L399" s="46">
        <v>0</v>
      </c>
      <c r="M399" s="46">
        <f t="shared" si="177"/>
        <v>820152</v>
      </c>
      <c r="N399" s="46">
        <v>820152</v>
      </c>
      <c r="O399" s="46">
        <v>0</v>
      </c>
      <c r="P399" s="46">
        <v>0</v>
      </c>
      <c r="Q399" s="74"/>
      <c r="R399" s="74"/>
      <c r="S399" s="49"/>
      <c r="T399" s="49"/>
      <c r="U399" s="49"/>
    </row>
    <row r="400" spans="1:21" s="50" customFormat="1" ht="13.5" customHeight="1">
      <c r="A400" s="886"/>
      <c r="B400" s="889"/>
      <c r="C400" s="81" t="s">
        <v>14</v>
      </c>
      <c r="D400" s="45">
        <f t="shared" si="174"/>
        <v>493572</v>
      </c>
      <c r="E400" s="46">
        <f t="shared" si="175"/>
        <v>366796</v>
      </c>
      <c r="F400" s="46">
        <f t="shared" si="176"/>
        <v>0</v>
      </c>
      <c r="G400" s="46"/>
      <c r="H400" s="46"/>
      <c r="I400" s="46">
        <f>222996+143800</f>
        <v>366796</v>
      </c>
      <c r="J400" s="46"/>
      <c r="K400" s="46"/>
      <c r="L400" s="46"/>
      <c r="M400" s="46">
        <f t="shared" si="177"/>
        <v>126776</v>
      </c>
      <c r="N400" s="46">
        <v>126776</v>
      </c>
      <c r="O400" s="46"/>
      <c r="P400" s="46"/>
      <c r="Q400" s="74"/>
      <c r="R400" s="74"/>
      <c r="S400" s="49"/>
      <c r="T400" s="49"/>
      <c r="U400" s="49"/>
    </row>
    <row r="401" spans="1:21" s="50" customFormat="1" ht="13.5" customHeight="1">
      <c r="A401" s="887"/>
      <c r="B401" s="890"/>
      <c r="C401" s="81" t="s">
        <v>15</v>
      </c>
      <c r="D401" s="45">
        <f>D399+D400</f>
        <v>16182150</v>
      </c>
      <c r="E401" s="46">
        <f t="shared" ref="E401:P401" si="185">E399+E400</f>
        <v>15235222</v>
      </c>
      <c r="F401" s="46">
        <f t="shared" si="185"/>
        <v>0</v>
      </c>
      <c r="G401" s="46">
        <f t="shared" si="185"/>
        <v>0</v>
      </c>
      <c r="H401" s="46">
        <f t="shared" si="185"/>
        <v>0</v>
      </c>
      <c r="I401" s="46">
        <f t="shared" si="185"/>
        <v>15235222</v>
      </c>
      <c r="J401" s="46">
        <f t="shared" si="185"/>
        <v>0</v>
      </c>
      <c r="K401" s="46">
        <f t="shared" si="185"/>
        <v>0</v>
      </c>
      <c r="L401" s="46">
        <f t="shared" si="185"/>
        <v>0</v>
      </c>
      <c r="M401" s="46">
        <f t="shared" si="185"/>
        <v>946928</v>
      </c>
      <c r="N401" s="46">
        <f t="shared" si="185"/>
        <v>946928</v>
      </c>
      <c r="O401" s="46">
        <f t="shared" si="185"/>
        <v>0</v>
      </c>
      <c r="P401" s="46">
        <f t="shared" si="185"/>
        <v>0</v>
      </c>
      <c r="Q401" s="74"/>
      <c r="R401" s="74"/>
      <c r="S401" s="49"/>
      <c r="T401" s="49"/>
      <c r="U401" s="49"/>
    </row>
    <row r="402" spans="1:21" s="50" customFormat="1" ht="13.5" customHeight="1">
      <c r="A402" s="885">
        <v>92120</v>
      </c>
      <c r="B402" s="888" t="s">
        <v>184</v>
      </c>
      <c r="C402" s="81" t="s">
        <v>13</v>
      </c>
      <c r="D402" s="45">
        <f t="shared" si="174"/>
        <v>1670648</v>
      </c>
      <c r="E402" s="46">
        <f t="shared" si="175"/>
        <v>1670648</v>
      </c>
      <c r="F402" s="46">
        <f t="shared" si="176"/>
        <v>75000</v>
      </c>
      <c r="G402" s="46">
        <v>19000</v>
      </c>
      <c r="H402" s="46">
        <f>2000+4000+50000</f>
        <v>56000</v>
      </c>
      <c r="I402" s="46">
        <v>1125000</v>
      </c>
      <c r="J402" s="46">
        <v>0</v>
      </c>
      <c r="K402" s="46">
        <v>470648</v>
      </c>
      <c r="L402" s="46">
        <v>0</v>
      </c>
      <c r="M402" s="46">
        <f t="shared" si="177"/>
        <v>0</v>
      </c>
      <c r="N402" s="46">
        <v>0</v>
      </c>
      <c r="O402" s="46">
        <v>0</v>
      </c>
      <c r="P402" s="46">
        <v>0</v>
      </c>
      <c r="Q402" s="74"/>
      <c r="R402" s="74"/>
      <c r="S402" s="49"/>
      <c r="T402" s="49"/>
      <c r="U402" s="49"/>
    </row>
    <row r="403" spans="1:21" s="50" customFormat="1" ht="13.5" customHeight="1">
      <c r="A403" s="886"/>
      <c r="B403" s="889"/>
      <c r="C403" s="81" t="s">
        <v>14</v>
      </c>
      <c r="D403" s="45">
        <f t="shared" si="174"/>
        <v>208028</v>
      </c>
      <c r="E403" s="46">
        <f t="shared" si="175"/>
        <v>208028</v>
      </c>
      <c r="F403" s="46">
        <f t="shared" si="176"/>
        <v>0</v>
      </c>
      <c r="G403" s="46"/>
      <c r="H403" s="46"/>
      <c r="I403" s="46"/>
      <c r="J403" s="46"/>
      <c r="K403" s="46">
        <v>208028</v>
      </c>
      <c r="L403" s="46"/>
      <c r="M403" s="46">
        <f t="shared" si="177"/>
        <v>0</v>
      </c>
      <c r="N403" s="46"/>
      <c r="O403" s="46"/>
      <c r="P403" s="46"/>
      <c r="Q403" s="74"/>
      <c r="R403" s="74"/>
      <c r="S403" s="49"/>
      <c r="T403" s="49"/>
      <c r="U403" s="49"/>
    </row>
    <row r="404" spans="1:21" s="50" customFormat="1" ht="13.5" customHeight="1">
      <c r="A404" s="887"/>
      <c r="B404" s="890"/>
      <c r="C404" s="81" t="s">
        <v>15</v>
      </c>
      <c r="D404" s="45">
        <f>D402+D403</f>
        <v>1878676</v>
      </c>
      <c r="E404" s="46">
        <f t="shared" ref="E404:P404" si="186">E402+E403</f>
        <v>1878676</v>
      </c>
      <c r="F404" s="46">
        <f t="shared" si="186"/>
        <v>75000</v>
      </c>
      <c r="G404" s="46">
        <f t="shared" si="186"/>
        <v>19000</v>
      </c>
      <c r="H404" s="46">
        <f t="shared" si="186"/>
        <v>56000</v>
      </c>
      <c r="I404" s="46">
        <f t="shared" si="186"/>
        <v>1125000</v>
      </c>
      <c r="J404" s="46">
        <f t="shared" si="186"/>
        <v>0</v>
      </c>
      <c r="K404" s="46">
        <f t="shared" si="186"/>
        <v>678676</v>
      </c>
      <c r="L404" s="46">
        <f t="shared" si="186"/>
        <v>0</v>
      </c>
      <c r="M404" s="46">
        <f t="shared" si="186"/>
        <v>0</v>
      </c>
      <c r="N404" s="46">
        <f t="shared" si="186"/>
        <v>0</v>
      </c>
      <c r="O404" s="46">
        <f t="shared" si="186"/>
        <v>0</v>
      </c>
      <c r="P404" s="46">
        <f t="shared" si="186"/>
        <v>0</v>
      </c>
      <c r="Q404" s="74"/>
      <c r="R404" s="74"/>
      <c r="S404" s="49"/>
      <c r="T404" s="49"/>
      <c r="U404" s="49"/>
    </row>
    <row r="405" spans="1:21" s="50" customFormat="1" ht="13.5" customHeight="1">
      <c r="A405" s="885">
        <v>92195</v>
      </c>
      <c r="B405" s="888" t="s">
        <v>51</v>
      </c>
      <c r="C405" s="81" t="s">
        <v>13</v>
      </c>
      <c r="D405" s="45">
        <f t="shared" si="174"/>
        <v>28278436</v>
      </c>
      <c r="E405" s="46">
        <f t="shared" si="175"/>
        <v>8678055</v>
      </c>
      <c r="F405" s="46">
        <f t="shared" si="176"/>
        <v>3955584</v>
      </c>
      <c r="G405" s="46">
        <v>122000</v>
      </c>
      <c r="H405" s="46">
        <v>3833584</v>
      </c>
      <c r="I405" s="46">
        <v>3190000</v>
      </c>
      <c r="J405" s="46">
        <v>406000</v>
      </c>
      <c r="K405" s="46">
        <v>1126471</v>
      </c>
      <c r="L405" s="46">
        <v>0</v>
      </c>
      <c r="M405" s="46">
        <f t="shared" si="177"/>
        <v>19600381</v>
      </c>
      <c r="N405" s="46">
        <v>19600381</v>
      </c>
      <c r="O405" s="46">
        <f>8960179+1275013</f>
        <v>10235192</v>
      </c>
      <c r="P405" s="46">
        <v>0</v>
      </c>
      <c r="Q405" s="74"/>
      <c r="R405" s="74"/>
      <c r="S405" s="49"/>
      <c r="T405" s="49"/>
      <c r="U405" s="49"/>
    </row>
    <row r="406" spans="1:21" s="50" customFormat="1" ht="13.5" customHeight="1">
      <c r="A406" s="886"/>
      <c r="B406" s="889"/>
      <c r="C406" s="81" t="s">
        <v>14</v>
      </c>
      <c r="D406" s="45">
        <f t="shared" si="174"/>
        <v>1450673</v>
      </c>
      <c r="E406" s="46">
        <f t="shared" si="175"/>
        <v>1450673</v>
      </c>
      <c r="F406" s="46">
        <f t="shared" si="176"/>
        <v>1000000</v>
      </c>
      <c r="G406" s="46"/>
      <c r="H406" s="46">
        <v>1000000</v>
      </c>
      <c r="I406" s="46"/>
      <c r="J406" s="46"/>
      <c r="K406" s="46">
        <f>450673</f>
        <v>450673</v>
      </c>
      <c r="L406" s="46"/>
      <c r="M406" s="46">
        <f t="shared" si="177"/>
        <v>0</v>
      </c>
      <c r="N406" s="46"/>
      <c r="O406" s="46"/>
      <c r="P406" s="46"/>
      <c r="Q406" s="74"/>
      <c r="R406" s="74"/>
      <c r="S406" s="49"/>
      <c r="T406" s="49"/>
      <c r="U406" s="49"/>
    </row>
    <row r="407" spans="1:21" s="50" customFormat="1" ht="13.5" customHeight="1">
      <c r="A407" s="887"/>
      <c r="B407" s="890"/>
      <c r="C407" s="81" t="s">
        <v>15</v>
      </c>
      <c r="D407" s="45">
        <f>D405+D406</f>
        <v>29729109</v>
      </c>
      <c r="E407" s="46">
        <f t="shared" ref="E407:P407" si="187">E405+E406</f>
        <v>10128728</v>
      </c>
      <c r="F407" s="46">
        <f t="shared" si="187"/>
        <v>4955584</v>
      </c>
      <c r="G407" s="46">
        <f t="shared" si="187"/>
        <v>122000</v>
      </c>
      <c r="H407" s="46">
        <f t="shared" si="187"/>
        <v>4833584</v>
      </c>
      <c r="I407" s="46">
        <f t="shared" si="187"/>
        <v>3190000</v>
      </c>
      <c r="J407" s="46">
        <f t="shared" si="187"/>
        <v>406000</v>
      </c>
      <c r="K407" s="46">
        <f t="shared" si="187"/>
        <v>1577144</v>
      </c>
      <c r="L407" s="46">
        <f t="shared" si="187"/>
        <v>0</v>
      </c>
      <c r="M407" s="46">
        <f t="shared" si="187"/>
        <v>19600381</v>
      </c>
      <c r="N407" s="46">
        <f t="shared" si="187"/>
        <v>19600381</v>
      </c>
      <c r="O407" s="46">
        <f t="shared" si="187"/>
        <v>10235192</v>
      </c>
      <c r="P407" s="46">
        <f t="shared" si="187"/>
        <v>0</v>
      </c>
      <c r="Q407" s="74"/>
      <c r="R407" s="74"/>
      <c r="S407" s="49"/>
      <c r="T407" s="49"/>
      <c r="U407" s="49"/>
    </row>
    <row r="408" spans="1:21" s="28" customFormat="1" ht="20.45" customHeight="1">
      <c r="A408" s="877">
        <v>925</v>
      </c>
      <c r="B408" s="880" t="s">
        <v>40</v>
      </c>
      <c r="C408" s="80" t="s">
        <v>13</v>
      </c>
      <c r="D408" s="43">
        <f t="shared" ref="D408:P409" si="188">D411</f>
        <v>8335466</v>
      </c>
      <c r="E408" s="44">
        <f t="shared" si="188"/>
        <v>4791458</v>
      </c>
      <c r="F408" s="44">
        <f t="shared" si="188"/>
        <v>4610858</v>
      </c>
      <c r="G408" s="44">
        <f t="shared" si="188"/>
        <v>3595996</v>
      </c>
      <c r="H408" s="44">
        <f t="shared" si="188"/>
        <v>1014862</v>
      </c>
      <c r="I408" s="44">
        <f t="shared" si="188"/>
        <v>0</v>
      </c>
      <c r="J408" s="44">
        <f t="shared" si="188"/>
        <v>90600</v>
      </c>
      <c r="K408" s="44">
        <f t="shared" si="188"/>
        <v>90000</v>
      </c>
      <c r="L408" s="44">
        <f t="shared" si="188"/>
        <v>0</v>
      </c>
      <c r="M408" s="44">
        <f t="shared" si="188"/>
        <v>3544008</v>
      </c>
      <c r="N408" s="44">
        <f t="shared" si="188"/>
        <v>3544008</v>
      </c>
      <c r="O408" s="44">
        <f>O411</f>
        <v>3538408</v>
      </c>
      <c r="P408" s="44">
        <f t="shared" si="188"/>
        <v>0</v>
      </c>
      <c r="Q408" s="69"/>
      <c r="R408" s="69"/>
      <c r="S408" s="34"/>
      <c r="T408" s="34"/>
      <c r="U408" s="34"/>
    </row>
    <row r="409" spans="1:21" s="28" customFormat="1" ht="20.45" customHeight="1">
      <c r="A409" s="878"/>
      <c r="B409" s="881"/>
      <c r="C409" s="80" t="s">
        <v>14</v>
      </c>
      <c r="D409" s="43">
        <f t="shared" si="188"/>
        <v>1575311</v>
      </c>
      <c r="E409" s="44">
        <f t="shared" si="188"/>
        <v>459561</v>
      </c>
      <c r="F409" s="44">
        <f t="shared" si="188"/>
        <v>63199</v>
      </c>
      <c r="G409" s="44">
        <f t="shared" si="188"/>
        <v>9409</v>
      </c>
      <c r="H409" s="44">
        <f t="shared" si="188"/>
        <v>53790</v>
      </c>
      <c r="I409" s="44">
        <f t="shared" si="188"/>
        <v>0</v>
      </c>
      <c r="J409" s="44">
        <f t="shared" si="188"/>
        <v>0</v>
      </c>
      <c r="K409" s="44">
        <f t="shared" si="188"/>
        <v>396362</v>
      </c>
      <c r="L409" s="44">
        <f t="shared" si="188"/>
        <v>0</v>
      </c>
      <c r="M409" s="44">
        <f t="shared" si="188"/>
        <v>1115750</v>
      </c>
      <c r="N409" s="44">
        <f t="shared" si="188"/>
        <v>1115750</v>
      </c>
      <c r="O409" s="44">
        <f t="shared" si="188"/>
        <v>1105750</v>
      </c>
      <c r="P409" s="44">
        <f t="shared" si="188"/>
        <v>0</v>
      </c>
      <c r="Q409" s="69"/>
      <c r="R409" s="69"/>
      <c r="S409" s="34"/>
      <c r="T409" s="34"/>
      <c r="U409" s="34"/>
    </row>
    <row r="410" spans="1:21" s="28" customFormat="1" ht="20.45" customHeight="1">
      <c r="A410" s="879"/>
      <c r="B410" s="882"/>
      <c r="C410" s="80" t="s">
        <v>15</v>
      </c>
      <c r="D410" s="43">
        <f>D408+D409</f>
        <v>9910777</v>
      </c>
      <c r="E410" s="44">
        <f t="shared" ref="E410:P410" si="189">E408+E409</f>
        <v>5251019</v>
      </c>
      <c r="F410" s="44">
        <f t="shared" si="189"/>
        <v>4674057</v>
      </c>
      <c r="G410" s="44">
        <f t="shared" si="189"/>
        <v>3605405</v>
      </c>
      <c r="H410" s="44">
        <f t="shared" si="189"/>
        <v>1068652</v>
      </c>
      <c r="I410" s="44">
        <f t="shared" si="189"/>
        <v>0</v>
      </c>
      <c r="J410" s="44">
        <f t="shared" si="189"/>
        <v>90600</v>
      </c>
      <c r="K410" s="44">
        <f t="shared" si="189"/>
        <v>486362</v>
      </c>
      <c r="L410" s="44">
        <f t="shared" si="189"/>
        <v>0</v>
      </c>
      <c r="M410" s="44">
        <f t="shared" si="189"/>
        <v>4659758</v>
      </c>
      <c r="N410" s="44">
        <f t="shared" si="189"/>
        <v>4659758</v>
      </c>
      <c r="O410" s="44">
        <f t="shared" si="189"/>
        <v>4644158</v>
      </c>
      <c r="P410" s="44">
        <f t="shared" si="189"/>
        <v>0</v>
      </c>
      <c r="Q410" s="69"/>
      <c r="R410" s="69"/>
      <c r="S410" s="34"/>
      <c r="T410" s="34"/>
      <c r="U410" s="34"/>
    </row>
    <row r="411" spans="1:21" s="50" customFormat="1" ht="13.5" customHeight="1">
      <c r="A411" s="885">
        <v>92502</v>
      </c>
      <c r="B411" s="888" t="s">
        <v>185</v>
      </c>
      <c r="C411" s="81" t="s">
        <v>13</v>
      </c>
      <c r="D411" s="72">
        <f>E411+M411</f>
        <v>8335466</v>
      </c>
      <c r="E411" s="73">
        <f>F411+I411+J411+K411+L411</f>
        <v>4791458</v>
      </c>
      <c r="F411" s="73">
        <f>G411+H411</f>
        <v>4610858</v>
      </c>
      <c r="G411" s="73">
        <v>3595996</v>
      </c>
      <c r="H411" s="73">
        <f>255583+1750+142500+57356+3850+246000+47300+1000+52791+2300+1200+74579+89738+26988+3000+577+1200+7150</f>
        <v>1014862</v>
      </c>
      <c r="I411" s="73">
        <v>0</v>
      </c>
      <c r="J411" s="73">
        <v>90600</v>
      </c>
      <c r="K411" s="73">
        <f>40375+7125+36125+6375</f>
        <v>90000</v>
      </c>
      <c r="L411" s="73">
        <v>0</v>
      </c>
      <c r="M411" s="73">
        <f>N411+P411</f>
        <v>3544008</v>
      </c>
      <c r="N411" s="73">
        <v>3544008</v>
      </c>
      <c r="O411" s="73">
        <f>2960895+522510+46753+8250</f>
        <v>3538408</v>
      </c>
      <c r="P411" s="73">
        <v>0</v>
      </c>
      <c r="Q411" s="74"/>
      <c r="R411" s="74"/>
      <c r="S411" s="49"/>
      <c r="T411" s="49"/>
      <c r="U411" s="49"/>
    </row>
    <row r="412" spans="1:21" s="50" customFormat="1" ht="13.5" customHeight="1">
      <c r="A412" s="886"/>
      <c r="B412" s="889"/>
      <c r="C412" s="81" t="s">
        <v>14</v>
      </c>
      <c r="D412" s="72">
        <f>E412+M412</f>
        <v>1575311</v>
      </c>
      <c r="E412" s="73">
        <f>F412+I412+J412+K412+L412</f>
        <v>459561</v>
      </c>
      <c r="F412" s="73">
        <f>G412+H412</f>
        <v>63199</v>
      </c>
      <c r="G412" s="73">
        <f>7150+1283+176+800</f>
        <v>9409</v>
      </c>
      <c r="H412" s="73">
        <f>18323+32867+2600</f>
        <v>53790</v>
      </c>
      <c r="I412" s="73"/>
      <c r="J412" s="73"/>
      <c r="K412" s="73">
        <f>11400+2012+1950+344+280+50+51000+9000+251465+68861</f>
        <v>396362</v>
      </c>
      <c r="L412" s="73"/>
      <c r="M412" s="73">
        <f>N412+P412</f>
        <v>1115750</v>
      </c>
      <c r="N412" s="73">
        <f>10000+670407+105257+280573+49513</f>
        <v>1115750</v>
      </c>
      <c r="O412" s="73">
        <f>670407+105257+280573+49513</f>
        <v>1105750</v>
      </c>
      <c r="P412" s="73"/>
      <c r="Q412" s="74"/>
      <c r="R412" s="74"/>
      <c r="S412" s="49"/>
      <c r="T412" s="49"/>
      <c r="U412" s="49"/>
    </row>
    <row r="413" spans="1:21" s="50" customFormat="1" ht="13.5" customHeight="1">
      <c r="A413" s="887"/>
      <c r="B413" s="890"/>
      <c r="C413" s="81" t="s">
        <v>15</v>
      </c>
      <c r="D413" s="72">
        <f>D411+D412</f>
        <v>9910777</v>
      </c>
      <c r="E413" s="73">
        <f t="shared" ref="E413:P413" si="190">E411+E412</f>
        <v>5251019</v>
      </c>
      <c r="F413" s="73">
        <f t="shared" si="190"/>
        <v>4674057</v>
      </c>
      <c r="G413" s="73">
        <f t="shared" si="190"/>
        <v>3605405</v>
      </c>
      <c r="H413" s="73">
        <f t="shared" si="190"/>
        <v>1068652</v>
      </c>
      <c r="I413" s="73">
        <f t="shared" si="190"/>
        <v>0</v>
      </c>
      <c r="J413" s="73">
        <f t="shared" si="190"/>
        <v>90600</v>
      </c>
      <c r="K413" s="73">
        <f t="shared" si="190"/>
        <v>486362</v>
      </c>
      <c r="L413" s="73">
        <f t="shared" si="190"/>
        <v>0</v>
      </c>
      <c r="M413" s="73">
        <f t="shared" si="190"/>
        <v>4659758</v>
      </c>
      <c r="N413" s="73">
        <f t="shared" si="190"/>
        <v>4659758</v>
      </c>
      <c r="O413" s="73">
        <f t="shared" si="190"/>
        <v>4644158</v>
      </c>
      <c r="P413" s="73">
        <f t="shared" si="190"/>
        <v>0</v>
      </c>
      <c r="Q413" s="74"/>
      <c r="R413" s="74"/>
      <c r="S413" s="49"/>
      <c r="T413" s="49"/>
      <c r="U413" s="49"/>
    </row>
    <row r="414" spans="1:21" s="28" customFormat="1" ht="14.25" hidden="1">
      <c r="A414" s="877">
        <v>926</v>
      </c>
      <c r="B414" s="880" t="s">
        <v>186</v>
      </c>
      <c r="C414" s="80" t="s">
        <v>13</v>
      </c>
      <c r="D414" s="43">
        <f t="shared" ref="D414:P415" si="191">D417</f>
        <v>7405900</v>
      </c>
      <c r="E414" s="44">
        <f t="shared" si="191"/>
        <v>5405900</v>
      </c>
      <c r="F414" s="44">
        <f t="shared" si="191"/>
        <v>270000</v>
      </c>
      <c r="G414" s="44">
        <f t="shared" si="191"/>
        <v>3000</v>
      </c>
      <c r="H414" s="44">
        <f t="shared" si="191"/>
        <v>267000</v>
      </c>
      <c r="I414" s="44">
        <f t="shared" si="191"/>
        <v>4100000</v>
      </c>
      <c r="J414" s="44">
        <f t="shared" si="191"/>
        <v>1035900</v>
      </c>
      <c r="K414" s="44">
        <f t="shared" si="191"/>
        <v>0</v>
      </c>
      <c r="L414" s="44">
        <f t="shared" si="191"/>
        <v>0</v>
      </c>
      <c r="M414" s="44">
        <f t="shared" si="191"/>
        <v>2000000</v>
      </c>
      <c r="N414" s="44">
        <f t="shared" si="191"/>
        <v>2000000</v>
      </c>
      <c r="O414" s="44">
        <f t="shared" si="191"/>
        <v>0</v>
      </c>
      <c r="P414" s="44">
        <f t="shared" si="191"/>
        <v>0</v>
      </c>
      <c r="Q414" s="69"/>
      <c r="R414" s="69"/>
      <c r="S414" s="34"/>
      <c r="T414" s="34"/>
      <c r="U414" s="34"/>
    </row>
    <row r="415" spans="1:21" s="28" customFormat="1" ht="14.25" hidden="1">
      <c r="A415" s="878"/>
      <c r="B415" s="881"/>
      <c r="C415" s="80" t="s">
        <v>14</v>
      </c>
      <c r="D415" s="43">
        <f t="shared" si="191"/>
        <v>0</v>
      </c>
      <c r="E415" s="44">
        <f t="shared" si="191"/>
        <v>0</v>
      </c>
      <c r="F415" s="44">
        <f t="shared" si="191"/>
        <v>0</v>
      </c>
      <c r="G415" s="44">
        <f t="shared" si="191"/>
        <v>0</v>
      </c>
      <c r="H415" s="44">
        <f t="shared" si="191"/>
        <v>0</v>
      </c>
      <c r="I415" s="44">
        <f t="shared" si="191"/>
        <v>0</v>
      </c>
      <c r="J415" s="44">
        <f t="shared" si="191"/>
        <v>0</v>
      </c>
      <c r="K415" s="44">
        <f t="shared" si="191"/>
        <v>0</v>
      </c>
      <c r="L415" s="44">
        <f t="shared" si="191"/>
        <v>0</v>
      </c>
      <c r="M415" s="44">
        <f t="shared" si="191"/>
        <v>0</v>
      </c>
      <c r="N415" s="44">
        <f t="shared" si="191"/>
        <v>0</v>
      </c>
      <c r="O415" s="44">
        <f t="shared" si="191"/>
        <v>0</v>
      </c>
      <c r="P415" s="44">
        <f t="shared" si="191"/>
        <v>0</v>
      </c>
      <c r="Q415" s="69"/>
      <c r="R415" s="69"/>
      <c r="S415" s="34"/>
      <c r="T415" s="34"/>
      <c r="U415" s="34"/>
    </row>
    <row r="416" spans="1:21" s="28" customFormat="1" ht="14.25" hidden="1">
      <c r="A416" s="879"/>
      <c r="B416" s="882"/>
      <c r="C416" s="80" t="s">
        <v>15</v>
      </c>
      <c r="D416" s="43">
        <f>D414+D415</f>
        <v>7405900</v>
      </c>
      <c r="E416" s="44">
        <f t="shared" ref="E416:P416" si="192">E414+E415</f>
        <v>5405900</v>
      </c>
      <c r="F416" s="44">
        <f t="shared" si="192"/>
        <v>270000</v>
      </c>
      <c r="G416" s="44">
        <f t="shared" si="192"/>
        <v>3000</v>
      </c>
      <c r="H416" s="44">
        <f t="shared" si="192"/>
        <v>267000</v>
      </c>
      <c r="I416" s="44">
        <f t="shared" si="192"/>
        <v>4100000</v>
      </c>
      <c r="J416" s="44">
        <f t="shared" si="192"/>
        <v>1035900</v>
      </c>
      <c r="K416" s="44">
        <f t="shared" si="192"/>
        <v>0</v>
      </c>
      <c r="L416" s="44">
        <f t="shared" si="192"/>
        <v>0</v>
      </c>
      <c r="M416" s="44">
        <f t="shared" si="192"/>
        <v>2000000</v>
      </c>
      <c r="N416" s="44">
        <f t="shared" si="192"/>
        <v>2000000</v>
      </c>
      <c r="O416" s="44">
        <f t="shared" si="192"/>
        <v>0</v>
      </c>
      <c r="P416" s="44">
        <f t="shared" si="192"/>
        <v>0</v>
      </c>
      <c r="Q416" s="69"/>
      <c r="R416" s="69"/>
      <c r="S416" s="34"/>
      <c r="T416" s="34"/>
      <c r="U416" s="34"/>
    </row>
    <row r="417" spans="1:21" s="50" customFormat="1" ht="13.5" hidden="1" customHeight="1">
      <c r="A417" s="885">
        <v>92605</v>
      </c>
      <c r="B417" s="888" t="s">
        <v>187</v>
      </c>
      <c r="C417" s="81" t="s">
        <v>13</v>
      </c>
      <c r="D417" s="45">
        <f>E417+M417</f>
        <v>7405900</v>
      </c>
      <c r="E417" s="46">
        <f>F417+I417+J417+K417+L417</f>
        <v>5405900</v>
      </c>
      <c r="F417" s="46">
        <f>G417+H417</f>
        <v>270000</v>
      </c>
      <c r="G417" s="46">
        <v>3000</v>
      </c>
      <c r="H417" s="46">
        <f>23000+40000+2000+200000+2000</f>
        <v>267000</v>
      </c>
      <c r="I417" s="46">
        <v>4100000</v>
      </c>
      <c r="J417" s="46">
        <v>1035900</v>
      </c>
      <c r="K417" s="46">
        <v>0</v>
      </c>
      <c r="L417" s="46">
        <v>0</v>
      </c>
      <c r="M417" s="46">
        <f>N417+P417</f>
        <v>2000000</v>
      </c>
      <c r="N417" s="46">
        <v>2000000</v>
      </c>
      <c r="O417" s="46">
        <v>0</v>
      </c>
      <c r="P417" s="46">
        <v>0</v>
      </c>
      <c r="Q417" s="74"/>
      <c r="R417" s="74"/>
      <c r="S417" s="49"/>
      <c r="T417" s="49"/>
      <c r="U417" s="49"/>
    </row>
    <row r="418" spans="1:21" s="50" customFormat="1" ht="13.5" hidden="1" customHeight="1">
      <c r="A418" s="886"/>
      <c r="B418" s="889"/>
      <c r="C418" s="81" t="s">
        <v>14</v>
      </c>
      <c r="D418" s="45">
        <f>E418+M418</f>
        <v>0</v>
      </c>
      <c r="E418" s="46">
        <f>F418+I418+J418+K418+L418</f>
        <v>0</v>
      </c>
      <c r="F418" s="46">
        <f>G418+H418</f>
        <v>0</v>
      </c>
      <c r="G418" s="46"/>
      <c r="H418" s="46"/>
      <c r="I418" s="46"/>
      <c r="J418" s="46"/>
      <c r="K418" s="46"/>
      <c r="L418" s="46"/>
      <c r="M418" s="46">
        <f>N418+P418</f>
        <v>0</v>
      </c>
      <c r="N418" s="46"/>
      <c r="O418" s="46"/>
      <c r="P418" s="46"/>
      <c r="Q418" s="74"/>
      <c r="R418" s="74"/>
      <c r="S418" s="49"/>
      <c r="T418" s="49"/>
      <c r="U418" s="49"/>
    </row>
    <row r="419" spans="1:21" s="50" customFormat="1" ht="13.5" hidden="1" customHeight="1">
      <c r="A419" s="887"/>
      <c r="B419" s="890"/>
      <c r="C419" s="81" t="s">
        <v>15</v>
      </c>
      <c r="D419" s="45">
        <f>D417+D418</f>
        <v>7405900</v>
      </c>
      <c r="E419" s="46">
        <f t="shared" ref="E419:P419" si="193">E417+E418</f>
        <v>5405900</v>
      </c>
      <c r="F419" s="46">
        <f t="shared" si="193"/>
        <v>270000</v>
      </c>
      <c r="G419" s="46">
        <f t="shared" si="193"/>
        <v>3000</v>
      </c>
      <c r="H419" s="46">
        <f t="shared" si="193"/>
        <v>267000</v>
      </c>
      <c r="I419" s="46">
        <f t="shared" si="193"/>
        <v>4100000</v>
      </c>
      <c r="J419" s="46">
        <f t="shared" si="193"/>
        <v>1035900</v>
      </c>
      <c r="K419" s="46">
        <f t="shared" si="193"/>
        <v>0</v>
      </c>
      <c r="L419" s="46">
        <f t="shared" si="193"/>
        <v>0</v>
      </c>
      <c r="M419" s="46">
        <f t="shared" si="193"/>
        <v>2000000</v>
      </c>
      <c r="N419" s="46">
        <f t="shared" si="193"/>
        <v>2000000</v>
      </c>
      <c r="O419" s="46">
        <f t="shared" si="193"/>
        <v>0</v>
      </c>
      <c r="P419" s="46">
        <f t="shared" si="193"/>
        <v>0</v>
      </c>
      <c r="Q419" s="74"/>
      <c r="R419" s="74"/>
      <c r="S419" s="49"/>
      <c r="T419" s="49"/>
      <c r="U419" s="49"/>
    </row>
    <row r="420" spans="1:21" s="26" customFormat="1" ht="5.0999999999999996" customHeight="1">
      <c r="A420" s="83"/>
      <c r="B420" s="66"/>
      <c r="C420" s="79"/>
      <c r="D420" s="45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32"/>
      <c r="R420" s="32"/>
      <c r="S420" s="32"/>
      <c r="T420" s="32"/>
      <c r="U420" s="32"/>
    </row>
    <row r="421" spans="1:21" s="31" customFormat="1" ht="15.75">
      <c r="A421" s="883"/>
      <c r="B421" s="884" t="s">
        <v>12</v>
      </c>
      <c r="C421" s="789" t="s">
        <v>13</v>
      </c>
      <c r="D421" s="55">
        <f t="shared" ref="D421:P423" si="194">D14</f>
        <v>1337171459</v>
      </c>
      <c r="E421" s="55">
        <f t="shared" si="194"/>
        <v>798309013</v>
      </c>
      <c r="F421" s="55">
        <f t="shared" si="194"/>
        <v>279970406</v>
      </c>
      <c r="G421" s="55">
        <f t="shared" si="194"/>
        <v>162286630</v>
      </c>
      <c r="H421" s="55">
        <f t="shared" si="194"/>
        <v>117683776</v>
      </c>
      <c r="I421" s="55">
        <f t="shared" si="194"/>
        <v>238116940</v>
      </c>
      <c r="J421" s="55">
        <f t="shared" si="194"/>
        <v>3398490</v>
      </c>
      <c r="K421" s="55">
        <f t="shared" si="194"/>
        <v>234205482</v>
      </c>
      <c r="L421" s="55">
        <f t="shared" si="194"/>
        <v>42617695</v>
      </c>
      <c r="M421" s="55">
        <f t="shared" si="194"/>
        <v>538862446</v>
      </c>
      <c r="N421" s="55">
        <f t="shared" si="194"/>
        <v>517513395</v>
      </c>
      <c r="O421" s="55">
        <f t="shared" si="194"/>
        <v>384923728</v>
      </c>
      <c r="P421" s="55">
        <f t="shared" si="194"/>
        <v>21349051</v>
      </c>
      <c r="Q421" s="37"/>
      <c r="R421" s="37"/>
      <c r="S421" s="37"/>
      <c r="T421" s="37"/>
      <c r="U421" s="37"/>
    </row>
    <row r="422" spans="1:21" s="31" customFormat="1" ht="15.75">
      <c r="A422" s="883"/>
      <c r="B422" s="884"/>
      <c r="C422" s="789" t="s">
        <v>14</v>
      </c>
      <c r="D422" s="55">
        <f t="shared" si="194"/>
        <v>162833079</v>
      </c>
      <c r="E422" s="55">
        <f t="shared" si="194"/>
        <v>45392395</v>
      </c>
      <c r="F422" s="55">
        <f t="shared" si="194"/>
        <v>7379660</v>
      </c>
      <c r="G422" s="55">
        <f t="shared" si="194"/>
        <v>57216</v>
      </c>
      <c r="H422" s="55">
        <f t="shared" si="194"/>
        <v>7322444</v>
      </c>
      <c r="I422" s="55">
        <f t="shared" si="194"/>
        <v>13799940</v>
      </c>
      <c r="J422" s="55">
        <f t="shared" si="194"/>
        <v>0</v>
      </c>
      <c r="K422" s="55">
        <f t="shared" si="194"/>
        <v>24212795</v>
      </c>
      <c r="L422" s="55">
        <f t="shared" si="194"/>
        <v>0</v>
      </c>
      <c r="M422" s="55">
        <f t="shared" si="194"/>
        <v>117440684</v>
      </c>
      <c r="N422" s="55">
        <f t="shared" si="194"/>
        <v>115629984</v>
      </c>
      <c r="O422" s="55">
        <f t="shared" si="194"/>
        <v>71266001</v>
      </c>
      <c r="P422" s="55">
        <f t="shared" si="194"/>
        <v>1810700</v>
      </c>
      <c r="Q422" s="37"/>
      <c r="R422" s="37"/>
      <c r="S422" s="37"/>
      <c r="T422" s="37"/>
      <c r="U422" s="37"/>
    </row>
    <row r="423" spans="1:21" s="31" customFormat="1" ht="15.75">
      <c r="A423" s="883"/>
      <c r="B423" s="884"/>
      <c r="C423" s="789" t="s">
        <v>15</v>
      </c>
      <c r="D423" s="55">
        <f t="shared" si="194"/>
        <v>1500004538</v>
      </c>
      <c r="E423" s="55">
        <f t="shared" si="194"/>
        <v>843701408</v>
      </c>
      <c r="F423" s="55">
        <f t="shared" si="194"/>
        <v>287350066</v>
      </c>
      <c r="G423" s="55">
        <f t="shared" si="194"/>
        <v>162343846</v>
      </c>
      <c r="H423" s="55">
        <f t="shared" si="194"/>
        <v>125006220</v>
      </c>
      <c r="I423" s="55">
        <f t="shared" si="194"/>
        <v>251916880</v>
      </c>
      <c r="J423" s="55">
        <f t="shared" si="194"/>
        <v>3398490</v>
      </c>
      <c r="K423" s="55">
        <f t="shared" si="194"/>
        <v>258418277</v>
      </c>
      <c r="L423" s="55">
        <f t="shared" si="194"/>
        <v>42617695</v>
      </c>
      <c r="M423" s="55">
        <f t="shared" si="194"/>
        <v>656303130</v>
      </c>
      <c r="N423" s="55">
        <f t="shared" si="194"/>
        <v>633143379</v>
      </c>
      <c r="O423" s="55">
        <f t="shared" si="194"/>
        <v>456189729</v>
      </c>
      <c r="P423" s="55">
        <f t="shared" si="194"/>
        <v>23159751</v>
      </c>
      <c r="Q423" s="37"/>
      <c r="R423" s="37"/>
      <c r="S423" s="37"/>
      <c r="T423" s="37"/>
      <c r="U423" s="37"/>
    </row>
    <row r="424" spans="1:21">
      <c r="A424" s="84" t="s">
        <v>11</v>
      </c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</row>
    <row r="425" spans="1:21">
      <c r="A425" s="84" t="s">
        <v>41</v>
      </c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6"/>
    </row>
    <row r="426" spans="1:21">
      <c r="A426" s="84" t="s">
        <v>42</v>
      </c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</row>
    <row r="427" spans="1:21">
      <c r="A427" s="84" t="s">
        <v>43</v>
      </c>
      <c r="D427" s="59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</row>
  </sheetData>
  <sheetProtection password="C25B" sheet="1" objects="1" scenarios="1"/>
  <mergeCells count="290">
    <mergeCell ref="A372:A374"/>
    <mergeCell ref="B372:B374"/>
    <mergeCell ref="A360:A362"/>
    <mergeCell ref="B360:B362"/>
    <mergeCell ref="A363:A365"/>
    <mergeCell ref="B363:B365"/>
    <mergeCell ref="A366:A368"/>
    <mergeCell ref="B366:B368"/>
    <mergeCell ref="A348:A350"/>
    <mergeCell ref="B348:B350"/>
    <mergeCell ref="A351:A353"/>
    <mergeCell ref="B351:B353"/>
    <mergeCell ref="A354:A356"/>
    <mergeCell ref="B354:B356"/>
    <mergeCell ref="A357:A359"/>
    <mergeCell ref="B357:B359"/>
    <mergeCell ref="A369:A371"/>
    <mergeCell ref="B369:B371"/>
    <mergeCell ref="A333:A335"/>
    <mergeCell ref="B333:B335"/>
    <mergeCell ref="A336:A338"/>
    <mergeCell ref="B336:B338"/>
    <mergeCell ref="A339:A341"/>
    <mergeCell ref="B339:B341"/>
    <mergeCell ref="A342:A344"/>
    <mergeCell ref="B342:B344"/>
    <mergeCell ref="A345:A347"/>
    <mergeCell ref="B345:B347"/>
    <mergeCell ref="A318:A320"/>
    <mergeCell ref="B318:B320"/>
    <mergeCell ref="A321:A323"/>
    <mergeCell ref="B321:B323"/>
    <mergeCell ref="A324:A326"/>
    <mergeCell ref="B324:B326"/>
    <mergeCell ref="A327:A329"/>
    <mergeCell ref="B327:B329"/>
    <mergeCell ref="A330:A332"/>
    <mergeCell ref="B330:B332"/>
    <mergeCell ref="A303:A305"/>
    <mergeCell ref="B303:B305"/>
    <mergeCell ref="A306:A308"/>
    <mergeCell ref="B306:B308"/>
    <mergeCell ref="A309:A311"/>
    <mergeCell ref="B309:B311"/>
    <mergeCell ref="A312:A314"/>
    <mergeCell ref="B312:B314"/>
    <mergeCell ref="A315:A317"/>
    <mergeCell ref="B315:B317"/>
    <mergeCell ref="A288:A290"/>
    <mergeCell ref="B288:B290"/>
    <mergeCell ref="A291:A293"/>
    <mergeCell ref="B291:B293"/>
    <mergeCell ref="A294:A296"/>
    <mergeCell ref="B294:B296"/>
    <mergeCell ref="A297:A299"/>
    <mergeCell ref="B297:B299"/>
    <mergeCell ref="A300:A302"/>
    <mergeCell ref="B300:B302"/>
    <mergeCell ref="A273:A275"/>
    <mergeCell ref="B273:B275"/>
    <mergeCell ref="A276:A278"/>
    <mergeCell ref="B276:B278"/>
    <mergeCell ref="A279:A281"/>
    <mergeCell ref="B279:B281"/>
    <mergeCell ref="A282:A284"/>
    <mergeCell ref="B282:B284"/>
    <mergeCell ref="A285:A287"/>
    <mergeCell ref="B285:B287"/>
    <mergeCell ref="A258:A260"/>
    <mergeCell ref="B258:B260"/>
    <mergeCell ref="A261:A263"/>
    <mergeCell ref="B261:B263"/>
    <mergeCell ref="A264:A266"/>
    <mergeCell ref="B264:B266"/>
    <mergeCell ref="A267:A269"/>
    <mergeCell ref="B267:B269"/>
    <mergeCell ref="A270:A272"/>
    <mergeCell ref="B270:B272"/>
    <mergeCell ref="A243:A245"/>
    <mergeCell ref="B243:B245"/>
    <mergeCell ref="A246:A248"/>
    <mergeCell ref="B246:B248"/>
    <mergeCell ref="A249:A251"/>
    <mergeCell ref="B249:B251"/>
    <mergeCell ref="A252:A254"/>
    <mergeCell ref="B252:B254"/>
    <mergeCell ref="A255:A257"/>
    <mergeCell ref="B255:B257"/>
    <mergeCell ref="A228:A230"/>
    <mergeCell ref="B228:B230"/>
    <mergeCell ref="A231:A233"/>
    <mergeCell ref="B231:B233"/>
    <mergeCell ref="A234:A236"/>
    <mergeCell ref="B234:B236"/>
    <mergeCell ref="A237:A239"/>
    <mergeCell ref="B237:B239"/>
    <mergeCell ref="A240:A242"/>
    <mergeCell ref="B240:B242"/>
    <mergeCell ref="A213:A215"/>
    <mergeCell ref="B213:B215"/>
    <mergeCell ref="A216:A218"/>
    <mergeCell ref="B216:B218"/>
    <mergeCell ref="A219:A221"/>
    <mergeCell ref="B219:B221"/>
    <mergeCell ref="A222:A224"/>
    <mergeCell ref="B222:B224"/>
    <mergeCell ref="A225:A227"/>
    <mergeCell ref="B225:B227"/>
    <mergeCell ref="A198:A200"/>
    <mergeCell ref="B198:B200"/>
    <mergeCell ref="A201:A203"/>
    <mergeCell ref="B201:B203"/>
    <mergeCell ref="A204:A206"/>
    <mergeCell ref="B204:B206"/>
    <mergeCell ref="A207:A209"/>
    <mergeCell ref="B207:B209"/>
    <mergeCell ref="A210:A212"/>
    <mergeCell ref="B210:B212"/>
    <mergeCell ref="A183:A185"/>
    <mergeCell ref="B183:B185"/>
    <mergeCell ref="A186:A188"/>
    <mergeCell ref="B186:B188"/>
    <mergeCell ref="A189:A191"/>
    <mergeCell ref="B189:B191"/>
    <mergeCell ref="A192:A194"/>
    <mergeCell ref="B192:B194"/>
    <mergeCell ref="A195:A197"/>
    <mergeCell ref="B195:B197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182"/>
    <mergeCell ref="B180:B182"/>
    <mergeCell ref="A153:A155"/>
    <mergeCell ref="B153:B155"/>
    <mergeCell ref="A156:A158"/>
    <mergeCell ref="B156:B158"/>
    <mergeCell ref="A159:A161"/>
    <mergeCell ref="B159:B161"/>
    <mergeCell ref="A162:A164"/>
    <mergeCell ref="B162:B164"/>
    <mergeCell ref="A165:A167"/>
    <mergeCell ref="B165:B16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26:A128"/>
    <mergeCell ref="B126:B128"/>
    <mergeCell ref="A120:A122"/>
    <mergeCell ref="B120:B122"/>
    <mergeCell ref="A129:A131"/>
    <mergeCell ref="B129:B131"/>
    <mergeCell ref="A132:A134"/>
    <mergeCell ref="B132:B134"/>
    <mergeCell ref="A135:A137"/>
    <mergeCell ref="B135:B137"/>
    <mergeCell ref="A108:A110"/>
    <mergeCell ref="B108:B110"/>
    <mergeCell ref="A111:A113"/>
    <mergeCell ref="B111:B113"/>
    <mergeCell ref="A114:A116"/>
    <mergeCell ref="B114:B116"/>
    <mergeCell ref="A117:A119"/>
    <mergeCell ref="B117:B119"/>
    <mergeCell ref="A123:A125"/>
    <mergeCell ref="B123:B125"/>
    <mergeCell ref="A93:A95"/>
    <mergeCell ref="B93:B95"/>
    <mergeCell ref="A96:A98"/>
    <mergeCell ref="B96:B98"/>
    <mergeCell ref="A99:A101"/>
    <mergeCell ref="B99:B101"/>
    <mergeCell ref="A102:A104"/>
    <mergeCell ref="B102:B104"/>
    <mergeCell ref="A105:A107"/>
    <mergeCell ref="B105:B107"/>
    <mergeCell ref="A78:A80"/>
    <mergeCell ref="B78:B80"/>
    <mergeCell ref="A81:A83"/>
    <mergeCell ref="B81:B83"/>
    <mergeCell ref="A84:A86"/>
    <mergeCell ref="B84:B86"/>
    <mergeCell ref="A87:A89"/>
    <mergeCell ref="B87:B89"/>
    <mergeCell ref="A90:A92"/>
    <mergeCell ref="B90:B92"/>
    <mergeCell ref="A63:A65"/>
    <mergeCell ref="B63:B65"/>
    <mergeCell ref="A66:A68"/>
    <mergeCell ref="B66:B68"/>
    <mergeCell ref="A69:A71"/>
    <mergeCell ref="B69:B71"/>
    <mergeCell ref="A72:A74"/>
    <mergeCell ref="B72:B74"/>
    <mergeCell ref="A75:A77"/>
    <mergeCell ref="B75:B77"/>
    <mergeCell ref="A5:P5"/>
    <mergeCell ref="A51:A53"/>
    <mergeCell ref="B51:B53"/>
    <mergeCell ref="A54:A56"/>
    <mergeCell ref="B54:B56"/>
    <mergeCell ref="A14:A16"/>
    <mergeCell ref="B14:B16"/>
    <mergeCell ref="A18:A20"/>
    <mergeCell ref="A21:A23"/>
    <mergeCell ref="B21:B23"/>
    <mergeCell ref="A8:A11"/>
    <mergeCell ref="B8:B11"/>
    <mergeCell ref="C8:C11"/>
    <mergeCell ref="J10:J11"/>
    <mergeCell ref="A33:A35"/>
    <mergeCell ref="B33:B35"/>
    <mergeCell ref="A36:A38"/>
    <mergeCell ref="B36:B38"/>
    <mergeCell ref="A24:A26"/>
    <mergeCell ref="B24:B26"/>
    <mergeCell ref="A27:A29"/>
    <mergeCell ref="B27:B29"/>
    <mergeCell ref="A42:A44"/>
    <mergeCell ref="B42:B44"/>
    <mergeCell ref="N10:N11"/>
    <mergeCell ref="A381:A383"/>
    <mergeCell ref="B381:B383"/>
    <mergeCell ref="A384:A386"/>
    <mergeCell ref="B384:B386"/>
    <mergeCell ref="A387:A389"/>
    <mergeCell ref="B387:B389"/>
    <mergeCell ref="A375:A377"/>
    <mergeCell ref="B375:B377"/>
    <mergeCell ref="A378:A380"/>
    <mergeCell ref="B378:B380"/>
    <mergeCell ref="K10:K11"/>
    <mergeCell ref="L10:L11"/>
    <mergeCell ref="D8:D11"/>
    <mergeCell ref="E8:P8"/>
    <mergeCell ref="E9:E11"/>
    <mergeCell ref="F9:L9"/>
    <mergeCell ref="P10:P11"/>
    <mergeCell ref="G10:H10"/>
    <mergeCell ref="I10:I11"/>
    <mergeCell ref="M9:M11"/>
    <mergeCell ref="N9:P9"/>
    <mergeCell ref="A39:A41"/>
    <mergeCell ref="B39:B41"/>
    <mergeCell ref="F10:F11"/>
    <mergeCell ref="B18:B20"/>
    <mergeCell ref="A399:A401"/>
    <mergeCell ref="B399:B401"/>
    <mergeCell ref="A402:A404"/>
    <mergeCell ref="B402:B404"/>
    <mergeCell ref="A405:A407"/>
    <mergeCell ref="B405:B407"/>
    <mergeCell ref="A390:A392"/>
    <mergeCell ref="B390:B392"/>
    <mergeCell ref="A393:A395"/>
    <mergeCell ref="B393:B395"/>
    <mergeCell ref="A396:A398"/>
    <mergeCell ref="B396:B398"/>
    <mergeCell ref="A30:A32"/>
    <mergeCell ref="B30:B32"/>
    <mergeCell ref="A57:A59"/>
    <mergeCell ref="B57:B59"/>
    <mergeCell ref="A45:A47"/>
    <mergeCell ref="A60:A62"/>
    <mergeCell ref="B60:B62"/>
    <mergeCell ref="B45:B47"/>
    <mergeCell ref="A48:A50"/>
    <mergeCell ref="B48:B50"/>
    <mergeCell ref="A408:A410"/>
    <mergeCell ref="B408:B410"/>
    <mergeCell ref="A421:A423"/>
    <mergeCell ref="B421:B423"/>
    <mergeCell ref="A411:A413"/>
    <mergeCell ref="B411:B413"/>
    <mergeCell ref="A414:A416"/>
    <mergeCell ref="B414:B416"/>
    <mergeCell ref="A417:A419"/>
    <mergeCell ref="B417:B419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5"/>
  <sheetViews>
    <sheetView view="pageBreakPreview" topLeftCell="A301" zoomScaleNormal="100" zoomScaleSheetLayoutView="100" workbookViewId="0">
      <selection activeCell="C319" sqref="C319"/>
    </sheetView>
  </sheetViews>
  <sheetFormatPr defaultColWidth="9" defaultRowHeight="12.75"/>
  <cols>
    <col min="1" max="1" width="7.25" style="16" customWidth="1"/>
    <col min="2" max="2" width="7.125" style="16" customWidth="1"/>
    <col min="3" max="3" width="42.25" style="16" customWidth="1"/>
    <col min="4" max="4" width="13.875" style="16" customWidth="1"/>
    <col min="5" max="5" width="12.75" style="16" customWidth="1"/>
    <col min="6" max="6" width="11.75" style="16" customWidth="1"/>
    <col min="7" max="7" width="14.125" style="16" customWidth="1"/>
    <col min="8" max="16384" width="9" style="16"/>
  </cols>
  <sheetData>
    <row r="1" spans="1:7" s="8" customFormat="1">
      <c r="A1" s="9"/>
      <c r="B1" s="10"/>
      <c r="D1" s="6"/>
      <c r="E1" s="6" t="s">
        <v>844</v>
      </c>
      <c r="F1" s="6"/>
      <c r="G1" s="6"/>
    </row>
    <row r="2" spans="1:7" s="8" customFormat="1" ht="13.15" customHeight="1">
      <c r="A2" s="9"/>
      <c r="B2" s="10"/>
      <c r="D2" s="6"/>
      <c r="E2" s="4" t="s">
        <v>472</v>
      </c>
      <c r="F2" s="6"/>
      <c r="G2" s="6"/>
    </row>
    <row r="3" spans="1:7" s="8" customFormat="1">
      <c r="A3" s="9"/>
      <c r="B3" s="10"/>
      <c r="D3" s="6"/>
      <c r="E3" s="4" t="s">
        <v>845</v>
      </c>
      <c r="F3" s="6"/>
      <c r="G3" s="6"/>
    </row>
    <row r="4" spans="1:7" s="8" customFormat="1" ht="6" customHeight="1">
      <c r="A4" s="9"/>
      <c r="B4" s="10"/>
    </row>
    <row r="5" spans="1:7" s="8" customFormat="1" ht="47.45" customHeight="1">
      <c r="A5" s="906" t="s">
        <v>218</v>
      </c>
      <c r="B5" s="906"/>
      <c r="C5" s="906"/>
      <c r="D5" s="906"/>
      <c r="E5" s="906"/>
      <c r="F5" s="906"/>
      <c r="G5" s="906"/>
    </row>
    <row r="6" spans="1:7" s="8" customFormat="1" ht="19.149999999999999" customHeight="1">
      <c r="A6" s="11"/>
      <c r="B6" s="11"/>
      <c r="C6" s="791"/>
      <c r="D6" s="791"/>
      <c r="E6" s="791"/>
      <c r="F6" s="791"/>
      <c r="G6" s="11" t="s">
        <v>0</v>
      </c>
    </row>
    <row r="7" spans="1:7" s="12" customFormat="1">
      <c r="A7" s="793" t="s">
        <v>1</v>
      </c>
      <c r="B7" s="920" t="s">
        <v>2</v>
      </c>
      <c r="C7" s="921" t="s">
        <v>3</v>
      </c>
      <c r="D7" s="17" t="s">
        <v>4</v>
      </c>
      <c r="E7" s="923" t="s">
        <v>5</v>
      </c>
      <c r="F7" s="925" t="s">
        <v>6</v>
      </c>
      <c r="G7" s="795" t="s">
        <v>7</v>
      </c>
    </row>
    <row r="8" spans="1:7" s="12" customFormat="1" ht="14.25" customHeight="1">
      <c r="A8" s="794" t="s">
        <v>8</v>
      </c>
      <c r="B8" s="920"/>
      <c r="C8" s="922"/>
      <c r="D8" s="18" t="s">
        <v>213</v>
      </c>
      <c r="E8" s="924"/>
      <c r="F8" s="926"/>
      <c r="G8" s="796" t="s">
        <v>9</v>
      </c>
    </row>
    <row r="9" spans="1:7" s="13" customFormat="1" ht="12">
      <c r="A9" s="19">
        <v>1</v>
      </c>
      <c r="B9" s="20">
        <v>2</v>
      </c>
      <c r="C9" s="19">
        <v>3</v>
      </c>
      <c r="D9" s="20">
        <v>4</v>
      </c>
      <c r="E9" s="19">
        <v>5</v>
      </c>
      <c r="F9" s="21">
        <v>6</v>
      </c>
      <c r="G9" s="19">
        <v>7</v>
      </c>
    </row>
    <row r="10" spans="1:7" s="15" customFormat="1" ht="19.899999999999999" customHeight="1">
      <c r="A10" s="14"/>
      <c r="B10" s="22"/>
      <c r="C10" s="23" t="s">
        <v>10</v>
      </c>
      <c r="D10" s="60">
        <v>1337171459</v>
      </c>
      <c r="E10" s="61">
        <f>E11+E37+E54+E100+E124+E127+E130+E149+E166+E169+E172+E201+E245+E270+E313+E335+E341+E392</f>
        <v>191199354</v>
      </c>
      <c r="F10" s="61">
        <f>F11+F37+F54+F100+F124+F127+F130+F149+F166+F169+F172+F201+F245+F270+F313+F335+F341+F392</f>
        <v>28366275</v>
      </c>
      <c r="G10" s="61">
        <f>D10+E10-F10</f>
        <v>1500004538</v>
      </c>
    </row>
    <row r="11" spans="1:7" s="133" customFormat="1" ht="15" customHeight="1">
      <c r="A11" s="134" t="s">
        <v>97</v>
      </c>
      <c r="B11" s="135" t="s">
        <v>382</v>
      </c>
      <c r="C11" s="136" t="s">
        <v>98</v>
      </c>
      <c r="D11" s="137">
        <v>28893004</v>
      </c>
      <c r="E11" s="138">
        <f>E12+E22</f>
        <v>432723</v>
      </c>
      <c r="F11" s="138">
        <f>F12+F22</f>
        <v>144000</v>
      </c>
      <c r="G11" s="138">
        <f>D11+E11-F11</f>
        <v>29181727</v>
      </c>
    </row>
    <row r="12" spans="1:7" s="133" customFormat="1" ht="15" customHeight="1">
      <c r="A12" s="128">
        <v>15011</v>
      </c>
      <c r="B12" s="129" t="s">
        <v>382</v>
      </c>
      <c r="C12" s="130" t="s">
        <v>383</v>
      </c>
      <c r="D12" s="131">
        <v>5713666</v>
      </c>
      <c r="E12" s="132">
        <f>SUM(E13:E21)</f>
        <v>351835</v>
      </c>
      <c r="F12" s="132">
        <f>SUM(F13:F21)</f>
        <v>144000</v>
      </c>
      <c r="G12" s="132">
        <f t="shared" ref="G12:G75" si="0">D12+E12-F12</f>
        <v>5921501</v>
      </c>
    </row>
    <row r="13" spans="1:7" ht="67.900000000000006" customHeight="1">
      <c r="A13" s="118" t="s">
        <v>382</v>
      </c>
      <c r="B13" s="119">
        <v>2007</v>
      </c>
      <c r="C13" s="120" t="s">
        <v>384</v>
      </c>
      <c r="D13" s="121">
        <v>2412000</v>
      </c>
      <c r="E13" s="122">
        <v>0</v>
      </c>
      <c r="F13" s="121">
        <v>144000</v>
      </c>
      <c r="G13" s="122">
        <f t="shared" si="0"/>
        <v>2268000</v>
      </c>
    </row>
    <row r="14" spans="1:7" ht="42" customHeight="1">
      <c r="A14" s="118" t="s">
        <v>382</v>
      </c>
      <c r="B14" s="119">
        <v>2310</v>
      </c>
      <c r="C14" s="120" t="s">
        <v>385</v>
      </c>
      <c r="D14" s="121">
        <v>603830</v>
      </c>
      <c r="E14" s="122">
        <v>120670</v>
      </c>
      <c r="F14" s="121">
        <v>0</v>
      </c>
      <c r="G14" s="122">
        <f t="shared" si="0"/>
        <v>724500</v>
      </c>
    </row>
    <row r="15" spans="1:7" ht="15" customHeight="1">
      <c r="A15" s="118" t="s">
        <v>382</v>
      </c>
      <c r="B15" s="119">
        <v>4010</v>
      </c>
      <c r="C15" s="120" t="s">
        <v>386</v>
      </c>
      <c r="D15" s="121">
        <v>197011</v>
      </c>
      <c r="E15" s="122">
        <v>20000</v>
      </c>
      <c r="F15" s="121">
        <v>0</v>
      </c>
      <c r="G15" s="122">
        <f t="shared" si="0"/>
        <v>217011</v>
      </c>
    </row>
    <row r="16" spans="1:7" ht="15" customHeight="1">
      <c r="A16" s="118" t="s">
        <v>382</v>
      </c>
      <c r="B16" s="119">
        <v>4017</v>
      </c>
      <c r="C16" s="120" t="s">
        <v>386</v>
      </c>
      <c r="D16" s="121">
        <v>77098</v>
      </c>
      <c r="E16" s="122">
        <v>30993</v>
      </c>
      <c r="F16" s="121">
        <v>0</v>
      </c>
      <c r="G16" s="122">
        <f t="shared" si="0"/>
        <v>108091</v>
      </c>
    </row>
    <row r="17" spans="1:7" ht="15" customHeight="1">
      <c r="A17" s="118" t="s">
        <v>382</v>
      </c>
      <c r="B17" s="119">
        <v>4117</v>
      </c>
      <c r="C17" s="120" t="s">
        <v>387</v>
      </c>
      <c r="D17" s="121">
        <v>13253</v>
      </c>
      <c r="E17" s="122">
        <v>5328</v>
      </c>
      <c r="F17" s="121">
        <v>0</v>
      </c>
      <c r="G17" s="122">
        <f t="shared" si="0"/>
        <v>18581</v>
      </c>
    </row>
    <row r="18" spans="1:7" ht="15" customHeight="1">
      <c r="A18" s="118" t="s">
        <v>382</v>
      </c>
      <c r="B18" s="119">
        <v>4127</v>
      </c>
      <c r="C18" s="120" t="s">
        <v>388</v>
      </c>
      <c r="D18" s="121">
        <v>1889</v>
      </c>
      <c r="E18" s="122">
        <v>759</v>
      </c>
      <c r="F18" s="121">
        <v>0</v>
      </c>
      <c r="G18" s="122">
        <f t="shared" si="0"/>
        <v>2648</v>
      </c>
    </row>
    <row r="19" spans="1:7" ht="15" customHeight="1">
      <c r="A19" s="118" t="s">
        <v>382</v>
      </c>
      <c r="B19" s="119">
        <v>4170</v>
      </c>
      <c r="C19" s="120" t="s">
        <v>389</v>
      </c>
      <c r="D19" s="121">
        <v>3000</v>
      </c>
      <c r="E19" s="122">
        <v>17000</v>
      </c>
      <c r="F19" s="121">
        <v>0</v>
      </c>
      <c r="G19" s="122">
        <f t="shared" si="0"/>
        <v>20000</v>
      </c>
    </row>
    <row r="20" spans="1:7" ht="15" customHeight="1">
      <c r="A20" s="118" t="s">
        <v>382</v>
      </c>
      <c r="B20" s="119">
        <v>4210</v>
      </c>
      <c r="C20" s="120" t="s">
        <v>390</v>
      </c>
      <c r="D20" s="121">
        <v>0</v>
      </c>
      <c r="E20" s="122">
        <v>25000</v>
      </c>
      <c r="F20" s="121">
        <v>0</v>
      </c>
      <c r="G20" s="122">
        <f t="shared" si="0"/>
        <v>25000</v>
      </c>
    </row>
    <row r="21" spans="1:7" ht="15" customHeight="1">
      <c r="A21" s="118" t="s">
        <v>382</v>
      </c>
      <c r="B21" s="119">
        <v>4300</v>
      </c>
      <c r="C21" s="120" t="s">
        <v>391</v>
      </c>
      <c r="D21" s="121">
        <v>1680360</v>
      </c>
      <c r="E21" s="122">
        <v>132085</v>
      </c>
      <c r="F21" s="121">
        <v>0</v>
      </c>
      <c r="G21" s="122">
        <f t="shared" si="0"/>
        <v>1812445</v>
      </c>
    </row>
    <row r="22" spans="1:7" s="133" customFormat="1" ht="15" customHeight="1">
      <c r="A22" s="128">
        <v>15095</v>
      </c>
      <c r="B22" s="129" t="s">
        <v>382</v>
      </c>
      <c r="C22" s="130" t="s">
        <v>51</v>
      </c>
      <c r="D22" s="131">
        <v>267112</v>
      </c>
      <c r="E22" s="132">
        <f>SUM(E23:E36)</f>
        <v>80888</v>
      </c>
      <c r="F22" s="132">
        <f>SUM(F23:F36)</f>
        <v>0</v>
      </c>
      <c r="G22" s="132">
        <f t="shared" si="0"/>
        <v>348000</v>
      </c>
    </row>
    <row r="23" spans="1:7" ht="15" customHeight="1">
      <c r="A23" s="118" t="s">
        <v>382</v>
      </c>
      <c r="B23" s="119">
        <v>4018</v>
      </c>
      <c r="C23" s="120" t="s">
        <v>386</v>
      </c>
      <c r="D23" s="121">
        <v>74133</v>
      </c>
      <c r="E23" s="122">
        <v>45315</v>
      </c>
      <c r="F23" s="121">
        <v>0</v>
      </c>
      <c r="G23" s="122">
        <f t="shared" si="0"/>
        <v>119448</v>
      </c>
    </row>
    <row r="24" spans="1:7" ht="15" customHeight="1">
      <c r="A24" s="118" t="s">
        <v>382</v>
      </c>
      <c r="B24" s="119">
        <v>4019</v>
      </c>
      <c r="C24" s="120" t="s">
        <v>386</v>
      </c>
      <c r="D24" s="121">
        <v>13082</v>
      </c>
      <c r="E24" s="122">
        <v>7997</v>
      </c>
      <c r="F24" s="121">
        <v>0</v>
      </c>
      <c r="G24" s="122">
        <f t="shared" si="0"/>
        <v>21079</v>
      </c>
    </row>
    <row r="25" spans="1:7" ht="15" customHeight="1">
      <c r="A25" s="118" t="s">
        <v>382</v>
      </c>
      <c r="B25" s="119">
        <v>4118</v>
      </c>
      <c r="C25" s="120" t="s">
        <v>387</v>
      </c>
      <c r="D25" s="121">
        <v>14547</v>
      </c>
      <c r="E25" s="122">
        <v>7790</v>
      </c>
      <c r="F25" s="121">
        <v>0</v>
      </c>
      <c r="G25" s="122">
        <f t="shared" si="0"/>
        <v>22337</v>
      </c>
    </row>
    <row r="26" spans="1:7" ht="15" customHeight="1">
      <c r="A26" s="118" t="s">
        <v>382</v>
      </c>
      <c r="B26" s="119">
        <v>4119</v>
      </c>
      <c r="C26" s="120" t="s">
        <v>387</v>
      </c>
      <c r="D26" s="121">
        <v>2567</v>
      </c>
      <c r="E26" s="122">
        <v>1375</v>
      </c>
      <c r="F26" s="121">
        <v>0</v>
      </c>
      <c r="G26" s="122">
        <f t="shared" si="0"/>
        <v>3942</v>
      </c>
    </row>
    <row r="27" spans="1:7" ht="15" customHeight="1">
      <c r="A27" s="118" t="s">
        <v>382</v>
      </c>
      <c r="B27" s="119">
        <v>4128</v>
      </c>
      <c r="C27" s="120" t="s">
        <v>388</v>
      </c>
      <c r="D27" s="121">
        <v>2073</v>
      </c>
      <c r="E27" s="122">
        <v>1111</v>
      </c>
      <c r="F27" s="121">
        <v>0</v>
      </c>
      <c r="G27" s="122">
        <f t="shared" si="0"/>
        <v>3184</v>
      </c>
    </row>
    <row r="28" spans="1:7" ht="15" customHeight="1">
      <c r="A28" s="118" t="s">
        <v>382</v>
      </c>
      <c r="B28" s="119">
        <v>4129</v>
      </c>
      <c r="C28" s="120" t="s">
        <v>388</v>
      </c>
      <c r="D28" s="121">
        <v>366</v>
      </c>
      <c r="E28" s="122">
        <v>196</v>
      </c>
      <c r="F28" s="121">
        <v>0</v>
      </c>
      <c r="G28" s="122">
        <f t="shared" si="0"/>
        <v>562</v>
      </c>
    </row>
    <row r="29" spans="1:7" ht="15" customHeight="1">
      <c r="A29" s="118" t="s">
        <v>382</v>
      </c>
      <c r="B29" s="119">
        <v>4308</v>
      </c>
      <c r="C29" s="120" t="s">
        <v>391</v>
      </c>
      <c r="D29" s="121">
        <v>119000</v>
      </c>
      <c r="E29" s="122">
        <v>4953</v>
      </c>
      <c r="F29" s="121">
        <v>0</v>
      </c>
      <c r="G29" s="122">
        <f t="shared" si="0"/>
        <v>123953</v>
      </c>
    </row>
    <row r="30" spans="1:7" ht="15" customHeight="1">
      <c r="A30" s="118" t="s">
        <v>382</v>
      </c>
      <c r="B30" s="119">
        <v>4309</v>
      </c>
      <c r="C30" s="120" t="s">
        <v>391</v>
      </c>
      <c r="D30" s="121">
        <v>21000</v>
      </c>
      <c r="E30" s="122">
        <v>875</v>
      </c>
      <c r="F30" s="121">
        <v>0</v>
      </c>
      <c r="G30" s="122">
        <f t="shared" si="0"/>
        <v>21875</v>
      </c>
    </row>
    <row r="31" spans="1:7" ht="15" customHeight="1">
      <c r="A31" s="118" t="s">
        <v>382</v>
      </c>
      <c r="B31" s="119">
        <v>4418</v>
      </c>
      <c r="C31" s="120" t="s">
        <v>392</v>
      </c>
      <c r="D31" s="121">
        <v>0</v>
      </c>
      <c r="E31" s="122">
        <v>425</v>
      </c>
      <c r="F31" s="121">
        <v>0</v>
      </c>
      <c r="G31" s="122">
        <f t="shared" si="0"/>
        <v>425</v>
      </c>
    </row>
    <row r="32" spans="1:7" ht="15" customHeight="1">
      <c r="A32" s="118" t="s">
        <v>382</v>
      </c>
      <c r="B32" s="119">
        <v>4419</v>
      </c>
      <c r="C32" s="120" t="s">
        <v>392</v>
      </c>
      <c r="D32" s="121">
        <v>0</v>
      </c>
      <c r="E32" s="122">
        <v>75</v>
      </c>
      <c r="F32" s="121">
        <v>0</v>
      </c>
      <c r="G32" s="122">
        <f t="shared" si="0"/>
        <v>75</v>
      </c>
    </row>
    <row r="33" spans="1:7" ht="15" customHeight="1">
      <c r="A33" s="118" t="s">
        <v>382</v>
      </c>
      <c r="B33" s="119">
        <v>4428</v>
      </c>
      <c r="C33" s="120" t="s">
        <v>393</v>
      </c>
      <c r="D33" s="121">
        <v>0</v>
      </c>
      <c r="E33" s="122">
        <v>8990</v>
      </c>
      <c r="F33" s="121">
        <v>0</v>
      </c>
      <c r="G33" s="122">
        <f t="shared" si="0"/>
        <v>8990</v>
      </c>
    </row>
    <row r="34" spans="1:7" ht="15" customHeight="1">
      <c r="A34" s="118" t="s">
        <v>382</v>
      </c>
      <c r="B34" s="119">
        <v>4429</v>
      </c>
      <c r="C34" s="120" t="s">
        <v>393</v>
      </c>
      <c r="D34" s="121">
        <v>0</v>
      </c>
      <c r="E34" s="122">
        <v>1586</v>
      </c>
      <c r="F34" s="121">
        <v>0</v>
      </c>
      <c r="G34" s="122">
        <f t="shared" si="0"/>
        <v>1586</v>
      </c>
    </row>
    <row r="35" spans="1:7" ht="15" customHeight="1">
      <c r="A35" s="118" t="s">
        <v>382</v>
      </c>
      <c r="B35" s="119">
        <v>4438</v>
      </c>
      <c r="C35" s="120" t="s">
        <v>394</v>
      </c>
      <c r="D35" s="121">
        <v>0</v>
      </c>
      <c r="E35" s="122">
        <v>170</v>
      </c>
      <c r="F35" s="121">
        <v>0</v>
      </c>
      <c r="G35" s="122">
        <f t="shared" si="0"/>
        <v>170</v>
      </c>
    </row>
    <row r="36" spans="1:7" ht="15" customHeight="1">
      <c r="A36" s="118" t="s">
        <v>382</v>
      </c>
      <c r="B36" s="119">
        <v>4439</v>
      </c>
      <c r="C36" s="120" t="s">
        <v>394</v>
      </c>
      <c r="D36" s="121">
        <v>0</v>
      </c>
      <c r="E36" s="122">
        <v>30</v>
      </c>
      <c r="F36" s="121">
        <v>0</v>
      </c>
      <c r="G36" s="122">
        <f t="shared" si="0"/>
        <v>30</v>
      </c>
    </row>
    <row r="37" spans="1:7" s="133" customFormat="1" ht="15" customHeight="1">
      <c r="A37" s="134" t="s">
        <v>102</v>
      </c>
      <c r="B37" s="135" t="s">
        <v>382</v>
      </c>
      <c r="C37" s="136" t="s">
        <v>103</v>
      </c>
      <c r="D37" s="137">
        <v>7444224</v>
      </c>
      <c r="E37" s="138">
        <f>E38</f>
        <v>302194</v>
      </c>
      <c r="F37" s="138">
        <f>F38</f>
        <v>1929997</v>
      </c>
      <c r="G37" s="138">
        <f t="shared" si="0"/>
        <v>5816421</v>
      </c>
    </row>
    <row r="38" spans="1:7" s="133" customFormat="1" ht="15" customHeight="1">
      <c r="A38" s="128">
        <v>50005</v>
      </c>
      <c r="B38" s="129" t="s">
        <v>382</v>
      </c>
      <c r="C38" s="130" t="s">
        <v>105</v>
      </c>
      <c r="D38" s="131">
        <v>7444224</v>
      </c>
      <c r="E38" s="132">
        <f>SUM(E39:E53)</f>
        <v>302194</v>
      </c>
      <c r="F38" s="132">
        <f>SUM(F39:F53)</f>
        <v>1929997</v>
      </c>
      <c r="G38" s="132">
        <f t="shared" si="0"/>
        <v>5816421</v>
      </c>
    </row>
    <row r="39" spans="1:7" ht="15" customHeight="1">
      <c r="A39" s="118" t="s">
        <v>382</v>
      </c>
      <c r="B39" s="119">
        <v>4017</v>
      </c>
      <c r="C39" s="120" t="s">
        <v>386</v>
      </c>
      <c r="D39" s="121">
        <v>416102</v>
      </c>
      <c r="E39" s="122">
        <v>0</v>
      </c>
      <c r="F39" s="121">
        <v>95760</v>
      </c>
      <c r="G39" s="122">
        <f t="shared" si="0"/>
        <v>320342</v>
      </c>
    </row>
    <row r="40" spans="1:7" ht="15" customHeight="1">
      <c r="A40" s="118" t="s">
        <v>382</v>
      </c>
      <c r="B40" s="119">
        <v>4019</v>
      </c>
      <c r="C40" s="120" t="s">
        <v>386</v>
      </c>
      <c r="D40" s="121">
        <v>73430</v>
      </c>
      <c r="E40" s="122">
        <v>0</v>
      </c>
      <c r="F40" s="121">
        <v>16899</v>
      </c>
      <c r="G40" s="122">
        <f t="shared" si="0"/>
        <v>56531</v>
      </c>
    </row>
    <row r="41" spans="1:7" ht="15" customHeight="1">
      <c r="A41" s="118" t="s">
        <v>382</v>
      </c>
      <c r="B41" s="119">
        <v>4117</v>
      </c>
      <c r="C41" s="120" t="s">
        <v>387</v>
      </c>
      <c r="D41" s="121">
        <v>89073</v>
      </c>
      <c r="E41" s="122">
        <v>0</v>
      </c>
      <c r="F41" s="121">
        <v>20499</v>
      </c>
      <c r="G41" s="122">
        <f t="shared" si="0"/>
        <v>68574</v>
      </c>
    </row>
    <row r="42" spans="1:7" ht="15" customHeight="1">
      <c r="A42" s="118" t="s">
        <v>382</v>
      </c>
      <c r="B42" s="119">
        <v>4119</v>
      </c>
      <c r="C42" s="120" t="s">
        <v>387</v>
      </c>
      <c r="D42" s="121">
        <v>15718</v>
      </c>
      <c r="E42" s="122">
        <v>0</v>
      </c>
      <c r="F42" s="121">
        <v>3617</v>
      </c>
      <c r="G42" s="122">
        <f t="shared" si="0"/>
        <v>12101</v>
      </c>
    </row>
    <row r="43" spans="1:7" ht="15" customHeight="1">
      <c r="A43" s="118" t="s">
        <v>382</v>
      </c>
      <c r="B43" s="119">
        <v>4127</v>
      </c>
      <c r="C43" s="120" t="s">
        <v>388</v>
      </c>
      <c r="D43" s="121">
        <v>12688</v>
      </c>
      <c r="E43" s="122">
        <v>0</v>
      </c>
      <c r="F43" s="121">
        <v>2920</v>
      </c>
      <c r="G43" s="122">
        <f t="shared" si="0"/>
        <v>9768</v>
      </c>
    </row>
    <row r="44" spans="1:7" ht="15" customHeight="1">
      <c r="A44" s="118" t="s">
        <v>382</v>
      </c>
      <c r="B44" s="119">
        <v>4129</v>
      </c>
      <c r="C44" s="120" t="s">
        <v>388</v>
      </c>
      <c r="D44" s="121">
        <v>2239</v>
      </c>
      <c r="E44" s="122">
        <v>0</v>
      </c>
      <c r="F44" s="121">
        <v>515</v>
      </c>
      <c r="G44" s="122">
        <f t="shared" si="0"/>
        <v>1724</v>
      </c>
    </row>
    <row r="45" spans="1:7" ht="15" customHeight="1">
      <c r="A45" s="118" t="s">
        <v>382</v>
      </c>
      <c r="B45" s="119">
        <v>4217</v>
      </c>
      <c r="C45" s="120" t="s">
        <v>390</v>
      </c>
      <c r="D45" s="121">
        <v>85356</v>
      </c>
      <c r="E45" s="122">
        <v>0</v>
      </c>
      <c r="F45" s="121">
        <v>37512</v>
      </c>
      <c r="G45" s="122">
        <f t="shared" si="0"/>
        <v>47844</v>
      </c>
    </row>
    <row r="46" spans="1:7" ht="15" customHeight="1">
      <c r="A46" s="118" t="s">
        <v>382</v>
      </c>
      <c r="B46" s="119">
        <v>4219</v>
      </c>
      <c r="C46" s="120" t="s">
        <v>390</v>
      </c>
      <c r="D46" s="121">
        <v>15063</v>
      </c>
      <c r="E46" s="122">
        <v>0</v>
      </c>
      <c r="F46" s="121">
        <v>6620</v>
      </c>
      <c r="G46" s="122">
        <f t="shared" si="0"/>
        <v>8443</v>
      </c>
    </row>
    <row r="47" spans="1:7" ht="15" customHeight="1">
      <c r="A47" s="118" t="s">
        <v>382</v>
      </c>
      <c r="B47" s="119">
        <v>4307</v>
      </c>
      <c r="C47" s="120" t="s">
        <v>391</v>
      </c>
      <c r="D47" s="121">
        <v>4537218</v>
      </c>
      <c r="E47" s="122">
        <v>0</v>
      </c>
      <c r="F47" s="121">
        <v>829902</v>
      </c>
      <c r="G47" s="122">
        <f t="shared" si="0"/>
        <v>3707316</v>
      </c>
    </row>
    <row r="48" spans="1:7" ht="15" customHeight="1">
      <c r="A48" s="118" t="s">
        <v>382</v>
      </c>
      <c r="B48" s="119">
        <v>4309</v>
      </c>
      <c r="C48" s="120" t="s">
        <v>391</v>
      </c>
      <c r="D48" s="121">
        <v>800685</v>
      </c>
      <c r="E48" s="122">
        <v>0</v>
      </c>
      <c r="F48" s="121">
        <v>146453</v>
      </c>
      <c r="G48" s="122">
        <f t="shared" si="0"/>
        <v>654232</v>
      </c>
    </row>
    <row r="49" spans="1:7" ht="15" customHeight="1">
      <c r="A49" s="118" t="s">
        <v>382</v>
      </c>
      <c r="B49" s="119">
        <v>4397</v>
      </c>
      <c r="C49" s="120" t="s">
        <v>395</v>
      </c>
      <c r="D49" s="121">
        <v>42500</v>
      </c>
      <c r="E49" s="122">
        <v>42500</v>
      </c>
      <c r="F49" s="121">
        <v>0</v>
      </c>
      <c r="G49" s="122">
        <f t="shared" si="0"/>
        <v>85000</v>
      </c>
    </row>
    <row r="50" spans="1:7" ht="15" customHeight="1">
      <c r="A50" s="118" t="s">
        <v>382</v>
      </c>
      <c r="B50" s="119">
        <v>4399</v>
      </c>
      <c r="C50" s="120" t="s">
        <v>395</v>
      </c>
      <c r="D50" s="121">
        <v>7500</v>
      </c>
      <c r="E50" s="122">
        <v>7500</v>
      </c>
      <c r="F50" s="121">
        <v>0</v>
      </c>
      <c r="G50" s="122">
        <f t="shared" si="0"/>
        <v>15000</v>
      </c>
    </row>
    <row r="51" spans="1:7" ht="15" customHeight="1">
      <c r="A51" s="118" t="s">
        <v>382</v>
      </c>
      <c r="B51" s="119">
        <v>6050</v>
      </c>
      <c r="C51" s="120" t="s">
        <v>396</v>
      </c>
      <c r="D51" s="121">
        <v>0</v>
      </c>
      <c r="E51" s="122">
        <v>252194</v>
      </c>
      <c r="F51" s="121">
        <v>0</v>
      </c>
      <c r="G51" s="122">
        <f t="shared" si="0"/>
        <v>252194</v>
      </c>
    </row>
    <row r="52" spans="1:7" ht="15" customHeight="1">
      <c r="A52" s="118" t="s">
        <v>382</v>
      </c>
      <c r="B52" s="119">
        <v>6057</v>
      </c>
      <c r="C52" s="120" t="s">
        <v>396</v>
      </c>
      <c r="D52" s="121">
        <v>1114350</v>
      </c>
      <c r="E52" s="122">
        <v>0</v>
      </c>
      <c r="F52" s="121">
        <v>653905</v>
      </c>
      <c r="G52" s="122">
        <f t="shared" si="0"/>
        <v>460445</v>
      </c>
    </row>
    <row r="53" spans="1:7" ht="22.15" customHeight="1">
      <c r="A53" s="118" t="s">
        <v>382</v>
      </c>
      <c r="B53" s="119">
        <v>6059</v>
      </c>
      <c r="C53" s="120" t="s">
        <v>396</v>
      </c>
      <c r="D53" s="121">
        <v>196650</v>
      </c>
      <c r="E53" s="122">
        <v>0</v>
      </c>
      <c r="F53" s="121">
        <v>115395</v>
      </c>
      <c r="G53" s="122">
        <f t="shared" si="0"/>
        <v>81255</v>
      </c>
    </row>
    <row r="54" spans="1:7" s="133" customFormat="1" ht="15" customHeight="1">
      <c r="A54" s="134" t="s">
        <v>19</v>
      </c>
      <c r="B54" s="135" t="s">
        <v>382</v>
      </c>
      <c r="C54" s="136" t="s">
        <v>20</v>
      </c>
      <c r="D54" s="137">
        <v>463514659</v>
      </c>
      <c r="E54" s="138">
        <f>E55+E58+E60+E82+E84</f>
        <v>64964336</v>
      </c>
      <c r="F54" s="138">
        <f>F55+F58+F60+F82+F84</f>
        <v>169374</v>
      </c>
      <c r="G54" s="138">
        <f t="shared" si="0"/>
        <v>528309621</v>
      </c>
    </row>
    <row r="55" spans="1:7" s="133" customFormat="1" ht="15" customHeight="1">
      <c r="A55" s="128">
        <v>60001</v>
      </c>
      <c r="B55" s="129" t="s">
        <v>382</v>
      </c>
      <c r="C55" s="130" t="s">
        <v>107</v>
      </c>
      <c r="D55" s="131">
        <v>90995539</v>
      </c>
      <c r="E55" s="132">
        <f>SUM(E56:E57)</f>
        <v>23529461</v>
      </c>
      <c r="F55" s="132">
        <f>SUM(F56:F57)</f>
        <v>0</v>
      </c>
      <c r="G55" s="132">
        <f t="shared" si="0"/>
        <v>114525000</v>
      </c>
    </row>
    <row r="56" spans="1:7" ht="28.15" customHeight="1">
      <c r="A56" s="118" t="s">
        <v>382</v>
      </c>
      <c r="B56" s="119">
        <v>2630</v>
      </c>
      <c r="C56" s="120" t="s">
        <v>397</v>
      </c>
      <c r="D56" s="121">
        <v>84040539</v>
      </c>
      <c r="E56" s="122">
        <v>12459461</v>
      </c>
      <c r="F56" s="121">
        <v>0</v>
      </c>
      <c r="G56" s="122">
        <f t="shared" si="0"/>
        <v>96500000</v>
      </c>
    </row>
    <row r="57" spans="1:7" ht="15" customHeight="1">
      <c r="A57" s="118" t="s">
        <v>382</v>
      </c>
      <c r="B57" s="119">
        <v>6060</v>
      </c>
      <c r="C57" s="120" t="s">
        <v>398</v>
      </c>
      <c r="D57" s="121">
        <v>0</v>
      </c>
      <c r="E57" s="122">
        <v>11070000</v>
      </c>
      <c r="F57" s="121">
        <v>0</v>
      </c>
      <c r="G57" s="122">
        <f t="shared" si="0"/>
        <v>11070000</v>
      </c>
    </row>
    <row r="58" spans="1:7" s="133" customFormat="1" ht="15" customHeight="1">
      <c r="A58" s="128">
        <v>60002</v>
      </c>
      <c r="B58" s="129" t="s">
        <v>382</v>
      </c>
      <c r="C58" s="130" t="s">
        <v>109</v>
      </c>
      <c r="D58" s="131">
        <v>999983</v>
      </c>
      <c r="E58" s="132">
        <f>E59</f>
        <v>200000</v>
      </c>
      <c r="F58" s="132">
        <f>F59</f>
        <v>0</v>
      </c>
      <c r="G58" s="132">
        <f t="shared" si="0"/>
        <v>1199983</v>
      </c>
    </row>
    <row r="59" spans="1:7" ht="15" customHeight="1">
      <c r="A59" s="123" t="s">
        <v>382</v>
      </c>
      <c r="B59" s="124">
        <v>6050</v>
      </c>
      <c r="C59" s="125" t="s">
        <v>396</v>
      </c>
      <c r="D59" s="126">
        <v>0</v>
      </c>
      <c r="E59" s="127">
        <v>200000</v>
      </c>
      <c r="F59" s="126">
        <v>0</v>
      </c>
      <c r="G59" s="127">
        <f t="shared" si="0"/>
        <v>200000</v>
      </c>
    </row>
    <row r="60" spans="1:7" s="133" customFormat="1" ht="15" customHeight="1">
      <c r="A60" s="456">
        <v>60013</v>
      </c>
      <c r="B60" s="457" t="s">
        <v>382</v>
      </c>
      <c r="C60" s="458" t="s">
        <v>110</v>
      </c>
      <c r="D60" s="459">
        <v>315586690</v>
      </c>
      <c r="E60" s="460">
        <f>SUM(E61:E81)</f>
        <v>41129715</v>
      </c>
      <c r="F60" s="460">
        <f>SUM(F61:F81)</f>
        <v>92436</v>
      </c>
      <c r="G60" s="460">
        <f t="shared" si="0"/>
        <v>356623969</v>
      </c>
    </row>
    <row r="61" spans="1:7" ht="15" customHeight="1">
      <c r="A61" s="118" t="s">
        <v>382</v>
      </c>
      <c r="B61" s="119">
        <v>4017</v>
      </c>
      <c r="C61" s="120" t="s">
        <v>386</v>
      </c>
      <c r="D61" s="121">
        <v>703238</v>
      </c>
      <c r="E61" s="122">
        <v>0</v>
      </c>
      <c r="F61" s="121">
        <v>31234</v>
      </c>
      <c r="G61" s="122">
        <f t="shared" si="0"/>
        <v>672004</v>
      </c>
    </row>
    <row r="62" spans="1:7" ht="15" customHeight="1">
      <c r="A62" s="118" t="s">
        <v>382</v>
      </c>
      <c r="B62" s="119">
        <v>4019</v>
      </c>
      <c r="C62" s="120" t="s">
        <v>386</v>
      </c>
      <c r="D62" s="121">
        <v>254204</v>
      </c>
      <c r="E62" s="122">
        <v>0</v>
      </c>
      <c r="F62" s="121">
        <v>38330</v>
      </c>
      <c r="G62" s="122">
        <f t="shared" si="0"/>
        <v>215874</v>
      </c>
    </row>
    <row r="63" spans="1:7" ht="15" customHeight="1">
      <c r="A63" s="118" t="s">
        <v>382</v>
      </c>
      <c r="B63" s="119">
        <v>4047</v>
      </c>
      <c r="C63" s="120" t="s">
        <v>399</v>
      </c>
      <c r="D63" s="121">
        <v>9384</v>
      </c>
      <c r="E63" s="122">
        <v>0</v>
      </c>
      <c r="F63" s="121">
        <v>3454</v>
      </c>
      <c r="G63" s="122">
        <f t="shared" si="0"/>
        <v>5930</v>
      </c>
    </row>
    <row r="64" spans="1:7" ht="15" customHeight="1">
      <c r="A64" s="118" t="s">
        <v>382</v>
      </c>
      <c r="B64" s="119">
        <v>4049</v>
      </c>
      <c r="C64" s="120" t="s">
        <v>399</v>
      </c>
      <c r="D64" s="121">
        <v>2596</v>
      </c>
      <c r="E64" s="122">
        <v>0</v>
      </c>
      <c r="F64" s="121">
        <v>1432</v>
      </c>
      <c r="G64" s="122">
        <f t="shared" si="0"/>
        <v>1164</v>
      </c>
    </row>
    <row r="65" spans="1:7" ht="15" customHeight="1">
      <c r="A65" s="118" t="s">
        <v>382</v>
      </c>
      <c r="B65" s="119">
        <v>4117</v>
      </c>
      <c r="C65" s="120" t="s">
        <v>387</v>
      </c>
      <c r="D65" s="121">
        <v>124298</v>
      </c>
      <c r="E65" s="122">
        <v>0</v>
      </c>
      <c r="F65" s="121">
        <v>5046</v>
      </c>
      <c r="G65" s="122">
        <f t="shared" si="0"/>
        <v>119252</v>
      </c>
    </row>
    <row r="66" spans="1:7" ht="15" customHeight="1">
      <c r="A66" s="118" t="s">
        <v>382</v>
      </c>
      <c r="B66" s="119">
        <v>4119</v>
      </c>
      <c r="C66" s="120" t="s">
        <v>387</v>
      </c>
      <c r="D66" s="121">
        <v>44576</v>
      </c>
      <c r="E66" s="122">
        <v>0</v>
      </c>
      <c r="F66" s="121">
        <v>6342</v>
      </c>
      <c r="G66" s="122">
        <f t="shared" si="0"/>
        <v>38234</v>
      </c>
    </row>
    <row r="67" spans="1:7" ht="15" customHeight="1">
      <c r="A67" s="118" t="s">
        <v>382</v>
      </c>
      <c r="B67" s="119">
        <v>4127</v>
      </c>
      <c r="C67" s="120" t="s">
        <v>388</v>
      </c>
      <c r="D67" s="121">
        <v>17381</v>
      </c>
      <c r="E67" s="122">
        <v>0</v>
      </c>
      <c r="F67" s="121">
        <v>848</v>
      </c>
      <c r="G67" s="122">
        <f t="shared" si="0"/>
        <v>16533</v>
      </c>
    </row>
    <row r="68" spans="1:7" ht="15" customHeight="1">
      <c r="A68" s="118" t="s">
        <v>382</v>
      </c>
      <c r="B68" s="119">
        <v>4129</v>
      </c>
      <c r="C68" s="120" t="s">
        <v>388</v>
      </c>
      <c r="D68" s="121">
        <v>6275</v>
      </c>
      <c r="E68" s="122">
        <v>0</v>
      </c>
      <c r="F68" s="121">
        <v>974</v>
      </c>
      <c r="G68" s="122">
        <f t="shared" si="0"/>
        <v>5301</v>
      </c>
    </row>
    <row r="69" spans="1:7" ht="15" customHeight="1">
      <c r="A69" s="118" t="s">
        <v>382</v>
      </c>
      <c r="B69" s="119">
        <v>4210</v>
      </c>
      <c r="C69" s="120" t="s">
        <v>390</v>
      </c>
      <c r="D69" s="121">
        <v>3705000</v>
      </c>
      <c r="E69" s="122">
        <v>1066210</v>
      </c>
      <c r="F69" s="121">
        <v>0</v>
      </c>
      <c r="G69" s="122">
        <f t="shared" si="0"/>
        <v>4771210</v>
      </c>
    </row>
    <row r="70" spans="1:7" ht="15" customHeight="1">
      <c r="A70" s="118" t="s">
        <v>382</v>
      </c>
      <c r="B70" s="119">
        <v>4270</v>
      </c>
      <c r="C70" s="120" t="s">
        <v>400</v>
      </c>
      <c r="D70" s="121">
        <v>10531370</v>
      </c>
      <c r="E70" s="122">
        <v>3100270</v>
      </c>
      <c r="F70" s="121">
        <v>0</v>
      </c>
      <c r="G70" s="122">
        <f t="shared" si="0"/>
        <v>13631640</v>
      </c>
    </row>
    <row r="71" spans="1:7" ht="15" customHeight="1">
      <c r="A71" s="118" t="s">
        <v>382</v>
      </c>
      <c r="B71" s="119">
        <v>4300</v>
      </c>
      <c r="C71" s="120" t="s">
        <v>391</v>
      </c>
      <c r="D71" s="121">
        <v>13308870</v>
      </c>
      <c r="E71" s="122">
        <v>2559538</v>
      </c>
      <c r="F71" s="121">
        <v>0</v>
      </c>
      <c r="G71" s="122">
        <f t="shared" si="0"/>
        <v>15868408</v>
      </c>
    </row>
    <row r="72" spans="1:7" ht="15" customHeight="1">
      <c r="A72" s="118" t="s">
        <v>382</v>
      </c>
      <c r="B72" s="119">
        <v>4307</v>
      </c>
      <c r="C72" s="120" t="s">
        <v>391</v>
      </c>
      <c r="D72" s="121">
        <v>70527</v>
      </c>
      <c r="E72" s="122">
        <v>0</v>
      </c>
      <c r="F72" s="121">
        <v>2931</v>
      </c>
      <c r="G72" s="122">
        <f t="shared" si="0"/>
        <v>67596</v>
      </c>
    </row>
    <row r="73" spans="1:7" ht="15" customHeight="1">
      <c r="A73" s="118" t="s">
        <v>382</v>
      </c>
      <c r="B73" s="119">
        <v>4309</v>
      </c>
      <c r="C73" s="120" t="s">
        <v>391</v>
      </c>
      <c r="D73" s="121">
        <v>19783</v>
      </c>
      <c r="E73" s="122">
        <v>0</v>
      </c>
      <c r="F73" s="121">
        <v>1845</v>
      </c>
      <c r="G73" s="122">
        <f t="shared" si="0"/>
        <v>17938</v>
      </c>
    </row>
    <row r="74" spans="1:7" ht="15" customHeight="1">
      <c r="A74" s="118" t="s">
        <v>382</v>
      </c>
      <c r="B74" s="119">
        <v>4360</v>
      </c>
      <c r="C74" s="120" t="s">
        <v>401</v>
      </c>
      <c r="D74" s="121">
        <v>123500</v>
      </c>
      <c r="E74" s="122">
        <v>2400</v>
      </c>
      <c r="F74" s="121">
        <v>0</v>
      </c>
      <c r="G74" s="122">
        <f t="shared" si="0"/>
        <v>125900</v>
      </c>
    </row>
    <row r="75" spans="1:7" ht="15" customHeight="1">
      <c r="A75" s="118" t="s">
        <v>382</v>
      </c>
      <c r="B75" s="119">
        <v>4510</v>
      </c>
      <c r="C75" s="120" t="s">
        <v>402</v>
      </c>
      <c r="D75" s="121">
        <v>7472</v>
      </c>
      <c r="E75" s="122">
        <v>4500</v>
      </c>
      <c r="F75" s="121">
        <v>0</v>
      </c>
      <c r="G75" s="122">
        <f t="shared" si="0"/>
        <v>11972</v>
      </c>
    </row>
    <row r="76" spans="1:7" ht="15" customHeight="1">
      <c r="A76" s="118" t="s">
        <v>382</v>
      </c>
      <c r="B76" s="119">
        <v>6050</v>
      </c>
      <c r="C76" s="120" t="s">
        <v>396</v>
      </c>
      <c r="D76" s="121">
        <v>69828912</v>
      </c>
      <c r="E76" s="122">
        <v>31079322</v>
      </c>
      <c r="F76" s="121">
        <v>0</v>
      </c>
      <c r="G76" s="122">
        <f t="shared" ref="G76:G139" si="1">D76+E76-F76</f>
        <v>100908234</v>
      </c>
    </row>
    <row r="77" spans="1:7" ht="15" customHeight="1">
      <c r="A77" s="118" t="s">
        <v>382</v>
      </c>
      <c r="B77" s="119">
        <v>6057</v>
      </c>
      <c r="C77" s="120" t="s">
        <v>396</v>
      </c>
      <c r="D77" s="121">
        <v>159254610</v>
      </c>
      <c r="E77" s="122">
        <v>1212598</v>
      </c>
      <c r="F77" s="121">
        <v>0</v>
      </c>
      <c r="G77" s="122">
        <f t="shared" si="1"/>
        <v>160467208</v>
      </c>
    </row>
    <row r="78" spans="1:7" ht="15" customHeight="1">
      <c r="A78" s="118" t="s">
        <v>382</v>
      </c>
      <c r="B78" s="119">
        <v>6059</v>
      </c>
      <c r="C78" s="120" t="s">
        <v>396</v>
      </c>
      <c r="D78" s="121">
        <v>34014757</v>
      </c>
      <c r="E78" s="122">
        <v>99524</v>
      </c>
      <c r="F78" s="121">
        <v>0</v>
      </c>
      <c r="G78" s="122">
        <f t="shared" si="1"/>
        <v>34114281</v>
      </c>
    </row>
    <row r="79" spans="1:7" ht="15" customHeight="1">
      <c r="A79" s="118" t="s">
        <v>382</v>
      </c>
      <c r="B79" s="119">
        <v>6060</v>
      </c>
      <c r="C79" s="120" t="s">
        <v>398</v>
      </c>
      <c r="D79" s="121">
        <v>4200000</v>
      </c>
      <c r="E79" s="122">
        <v>1900000</v>
      </c>
      <c r="F79" s="121">
        <v>0</v>
      </c>
      <c r="G79" s="122">
        <f t="shared" si="1"/>
        <v>6100000</v>
      </c>
    </row>
    <row r="80" spans="1:7" ht="40.5" customHeight="1">
      <c r="A80" s="118" t="s">
        <v>382</v>
      </c>
      <c r="B80" s="119">
        <v>6619</v>
      </c>
      <c r="C80" s="120" t="s">
        <v>403</v>
      </c>
      <c r="D80" s="121">
        <v>319463</v>
      </c>
      <c r="E80" s="122">
        <v>50666</v>
      </c>
      <c r="F80" s="121">
        <v>0</v>
      </c>
      <c r="G80" s="122">
        <f t="shared" si="1"/>
        <v>370129</v>
      </c>
    </row>
    <row r="81" spans="1:7" ht="40.5" customHeight="1">
      <c r="A81" s="118" t="s">
        <v>382</v>
      </c>
      <c r="B81" s="119">
        <v>6629</v>
      </c>
      <c r="C81" s="120" t="s">
        <v>404</v>
      </c>
      <c r="D81" s="121">
        <v>161596</v>
      </c>
      <c r="E81" s="122">
        <v>54687</v>
      </c>
      <c r="F81" s="121">
        <v>0</v>
      </c>
      <c r="G81" s="122">
        <f t="shared" si="1"/>
        <v>216283</v>
      </c>
    </row>
    <row r="82" spans="1:7" s="133" customFormat="1" ht="15" customHeight="1">
      <c r="A82" s="128">
        <v>60017</v>
      </c>
      <c r="B82" s="129" t="s">
        <v>382</v>
      </c>
      <c r="C82" s="130" t="s">
        <v>205</v>
      </c>
      <c r="D82" s="131">
        <v>325202</v>
      </c>
      <c r="E82" s="132">
        <f>E83</f>
        <v>6014</v>
      </c>
      <c r="F82" s="132">
        <f>F83</f>
        <v>0</v>
      </c>
      <c r="G82" s="132">
        <f t="shared" si="1"/>
        <v>331216</v>
      </c>
    </row>
    <row r="83" spans="1:7" ht="39.75" customHeight="1">
      <c r="A83" s="118" t="s">
        <v>382</v>
      </c>
      <c r="B83" s="119">
        <v>6220</v>
      </c>
      <c r="C83" s="120" t="s">
        <v>405</v>
      </c>
      <c r="D83" s="121">
        <v>0</v>
      </c>
      <c r="E83" s="122">
        <v>6014</v>
      </c>
      <c r="F83" s="121">
        <v>0</v>
      </c>
      <c r="G83" s="122">
        <f t="shared" si="1"/>
        <v>6014</v>
      </c>
    </row>
    <row r="84" spans="1:7" s="133" customFormat="1" ht="15" customHeight="1">
      <c r="A84" s="128">
        <v>60095</v>
      </c>
      <c r="B84" s="129" t="s">
        <v>382</v>
      </c>
      <c r="C84" s="130" t="s">
        <v>51</v>
      </c>
      <c r="D84" s="131">
        <v>946281</v>
      </c>
      <c r="E84" s="132">
        <f>SUM(E85:E99)</f>
        <v>99146</v>
      </c>
      <c r="F84" s="132">
        <f>SUM(F85:F99)</f>
        <v>76938</v>
      </c>
      <c r="G84" s="132">
        <f t="shared" si="1"/>
        <v>968489</v>
      </c>
    </row>
    <row r="85" spans="1:7" ht="15" customHeight="1">
      <c r="A85" s="118" t="s">
        <v>382</v>
      </c>
      <c r="B85" s="119">
        <v>4018</v>
      </c>
      <c r="C85" s="120" t="s">
        <v>386</v>
      </c>
      <c r="D85" s="121">
        <v>76469</v>
      </c>
      <c r="E85" s="122">
        <v>35358</v>
      </c>
      <c r="F85" s="121">
        <v>0</v>
      </c>
      <c r="G85" s="122">
        <f t="shared" si="1"/>
        <v>111827</v>
      </c>
    </row>
    <row r="86" spans="1:7" ht="15" customHeight="1">
      <c r="A86" s="118" t="s">
        <v>382</v>
      </c>
      <c r="B86" s="119">
        <v>4019</v>
      </c>
      <c r="C86" s="120" t="s">
        <v>386</v>
      </c>
      <c r="D86" s="121">
        <v>13493</v>
      </c>
      <c r="E86" s="122">
        <v>6241</v>
      </c>
      <c r="F86" s="121">
        <v>0</v>
      </c>
      <c r="G86" s="122">
        <f t="shared" si="1"/>
        <v>19734</v>
      </c>
    </row>
    <row r="87" spans="1:7" ht="15" customHeight="1">
      <c r="A87" s="118" t="s">
        <v>382</v>
      </c>
      <c r="B87" s="119">
        <v>4048</v>
      </c>
      <c r="C87" s="120" t="s">
        <v>399</v>
      </c>
      <c r="D87" s="121">
        <v>15199</v>
      </c>
      <c r="E87" s="122">
        <v>0</v>
      </c>
      <c r="F87" s="121">
        <v>2695</v>
      </c>
      <c r="G87" s="122">
        <f t="shared" si="1"/>
        <v>12504</v>
      </c>
    </row>
    <row r="88" spans="1:7" ht="15" customHeight="1">
      <c r="A88" s="118" t="s">
        <v>382</v>
      </c>
      <c r="B88" s="119">
        <v>4049</v>
      </c>
      <c r="C88" s="120" t="s">
        <v>399</v>
      </c>
      <c r="D88" s="121">
        <v>2682</v>
      </c>
      <c r="E88" s="122">
        <v>0</v>
      </c>
      <c r="F88" s="121">
        <v>475</v>
      </c>
      <c r="G88" s="122">
        <f t="shared" si="1"/>
        <v>2207</v>
      </c>
    </row>
    <row r="89" spans="1:7" ht="15" customHeight="1">
      <c r="A89" s="118" t="s">
        <v>382</v>
      </c>
      <c r="B89" s="119">
        <v>4118</v>
      </c>
      <c r="C89" s="120" t="s">
        <v>387</v>
      </c>
      <c r="D89" s="121">
        <v>15757</v>
      </c>
      <c r="E89" s="122">
        <v>5616</v>
      </c>
      <c r="F89" s="121">
        <v>0</v>
      </c>
      <c r="G89" s="122">
        <f t="shared" si="1"/>
        <v>21373</v>
      </c>
    </row>
    <row r="90" spans="1:7" ht="15" customHeight="1">
      <c r="A90" s="118" t="s">
        <v>382</v>
      </c>
      <c r="B90" s="119">
        <v>4119</v>
      </c>
      <c r="C90" s="120" t="s">
        <v>387</v>
      </c>
      <c r="D90" s="121">
        <v>2781</v>
      </c>
      <c r="E90" s="122">
        <v>991</v>
      </c>
      <c r="F90" s="121">
        <v>0</v>
      </c>
      <c r="G90" s="122">
        <f t="shared" si="1"/>
        <v>3772</v>
      </c>
    </row>
    <row r="91" spans="1:7" ht="15" customHeight="1">
      <c r="A91" s="118" t="s">
        <v>382</v>
      </c>
      <c r="B91" s="119">
        <v>4128</v>
      </c>
      <c r="C91" s="120" t="s">
        <v>388</v>
      </c>
      <c r="D91" s="121">
        <v>2246</v>
      </c>
      <c r="E91" s="122">
        <v>800</v>
      </c>
      <c r="F91" s="121">
        <v>0</v>
      </c>
      <c r="G91" s="122">
        <f t="shared" si="1"/>
        <v>3046</v>
      </c>
    </row>
    <row r="92" spans="1:7" ht="15" customHeight="1">
      <c r="A92" s="118" t="s">
        <v>382</v>
      </c>
      <c r="B92" s="119">
        <v>4129</v>
      </c>
      <c r="C92" s="120" t="s">
        <v>388</v>
      </c>
      <c r="D92" s="121">
        <v>397</v>
      </c>
      <c r="E92" s="122">
        <v>140</v>
      </c>
      <c r="F92" s="121">
        <v>0</v>
      </c>
      <c r="G92" s="122">
        <f t="shared" si="1"/>
        <v>537</v>
      </c>
    </row>
    <row r="93" spans="1:7" ht="15" customHeight="1">
      <c r="A93" s="118" t="s">
        <v>382</v>
      </c>
      <c r="B93" s="119">
        <v>4308</v>
      </c>
      <c r="C93" s="120" t="s">
        <v>391</v>
      </c>
      <c r="D93" s="121">
        <v>319110</v>
      </c>
      <c r="E93" s="122">
        <v>0</v>
      </c>
      <c r="F93" s="121">
        <v>36245</v>
      </c>
      <c r="G93" s="122">
        <f t="shared" si="1"/>
        <v>282865</v>
      </c>
    </row>
    <row r="94" spans="1:7" ht="15" customHeight="1">
      <c r="A94" s="118" t="s">
        <v>382</v>
      </c>
      <c r="B94" s="119">
        <v>4309</v>
      </c>
      <c r="C94" s="120" t="s">
        <v>391</v>
      </c>
      <c r="D94" s="121">
        <v>56312</v>
      </c>
      <c r="E94" s="122">
        <v>0</v>
      </c>
      <c r="F94" s="121">
        <v>6395</v>
      </c>
      <c r="G94" s="122">
        <f t="shared" si="1"/>
        <v>49917</v>
      </c>
    </row>
    <row r="95" spans="1:7" ht="15" customHeight="1">
      <c r="A95" s="118" t="s">
        <v>382</v>
      </c>
      <c r="B95" s="119">
        <v>4428</v>
      </c>
      <c r="C95" s="120" t="s">
        <v>393</v>
      </c>
      <c r="D95" s="121">
        <v>34000</v>
      </c>
      <c r="E95" s="122">
        <v>0</v>
      </c>
      <c r="F95" s="121">
        <v>26204</v>
      </c>
      <c r="G95" s="122">
        <f t="shared" si="1"/>
        <v>7796</v>
      </c>
    </row>
    <row r="96" spans="1:7" ht="15" customHeight="1">
      <c r="A96" s="118" t="s">
        <v>382</v>
      </c>
      <c r="B96" s="119">
        <v>4429</v>
      </c>
      <c r="C96" s="120" t="s">
        <v>393</v>
      </c>
      <c r="D96" s="121">
        <v>6000</v>
      </c>
      <c r="E96" s="122">
        <v>0</v>
      </c>
      <c r="F96" s="121">
        <v>4624</v>
      </c>
      <c r="G96" s="122">
        <f t="shared" si="1"/>
        <v>1376</v>
      </c>
    </row>
    <row r="97" spans="1:7" ht="15" customHeight="1">
      <c r="A97" s="118" t="s">
        <v>382</v>
      </c>
      <c r="B97" s="119">
        <v>4438</v>
      </c>
      <c r="C97" s="120" t="s">
        <v>394</v>
      </c>
      <c r="D97" s="121">
        <v>510</v>
      </c>
      <c r="E97" s="122">
        <v>0</v>
      </c>
      <c r="F97" s="121">
        <v>255</v>
      </c>
      <c r="G97" s="122">
        <f t="shared" si="1"/>
        <v>255</v>
      </c>
    </row>
    <row r="98" spans="1:7" ht="15" customHeight="1">
      <c r="A98" s="118" t="s">
        <v>382</v>
      </c>
      <c r="B98" s="119">
        <v>4439</v>
      </c>
      <c r="C98" s="120" t="s">
        <v>394</v>
      </c>
      <c r="D98" s="121">
        <v>90</v>
      </c>
      <c r="E98" s="122">
        <v>0</v>
      </c>
      <c r="F98" s="121">
        <v>45</v>
      </c>
      <c r="G98" s="122">
        <f t="shared" si="1"/>
        <v>45</v>
      </c>
    </row>
    <row r="99" spans="1:7" ht="15" customHeight="1">
      <c r="A99" s="118" t="s">
        <v>382</v>
      </c>
      <c r="B99" s="119">
        <v>6010</v>
      </c>
      <c r="C99" s="120" t="s">
        <v>406</v>
      </c>
      <c r="D99" s="121">
        <v>0</v>
      </c>
      <c r="E99" s="122">
        <v>50000</v>
      </c>
      <c r="F99" s="121">
        <v>0</v>
      </c>
      <c r="G99" s="122">
        <f t="shared" si="1"/>
        <v>50000</v>
      </c>
    </row>
    <row r="100" spans="1:7" s="133" customFormat="1" ht="15" customHeight="1">
      <c r="A100" s="134" t="s">
        <v>67</v>
      </c>
      <c r="B100" s="135" t="s">
        <v>382</v>
      </c>
      <c r="C100" s="136" t="s">
        <v>68</v>
      </c>
      <c r="D100" s="137">
        <v>1341001</v>
      </c>
      <c r="E100" s="138">
        <f>E101</f>
        <v>178223</v>
      </c>
      <c r="F100" s="138">
        <f>F101</f>
        <v>21588</v>
      </c>
      <c r="G100" s="138">
        <f t="shared" si="1"/>
        <v>1497636</v>
      </c>
    </row>
    <row r="101" spans="1:7" s="133" customFormat="1" ht="15" customHeight="1">
      <c r="A101" s="128">
        <v>63095</v>
      </c>
      <c r="B101" s="129" t="s">
        <v>382</v>
      </c>
      <c r="C101" s="130" t="s">
        <v>51</v>
      </c>
      <c r="D101" s="131">
        <v>687182</v>
      </c>
      <c r="E101" s="132">
        <f>SUM(E102:E123)</f>
        <v>178223</v>
      </c>
      <c r="F101" s="132">
        <f>SUM(F102:F123)</f>
        <v>21588</v>
      </c>
      <c r="G101" s="132">
        <f t="shared" si="1"/>
        <v>843817</v>
      </c>
    </row>
    <row r="102" spans="1:7" ht="15" customHeight="1">
      <c r="A102" s="118" t="s">
        <v>382</v>
      </c>
      <c r="B102" s="119">
        <v>3038</v>
      </c>
      <c r="C102" s="120" t="s">
        <v>407</v>
      </c>
      <c r="D102" s="121">
        <v>8500</v>
      </c>
      <c r="E102" s="122">
        <v>0</v>
      </c>
      <c r="F102" s="121">
        <v>8500</v>
      </c>
      <c r="G102" s="122">
        <f t="shared" si="1"/>
        <v>0</v>
      </c>
    </row>
    <row r="103" spans="1:7" ht="15" customHeight="1">
      <c r="A103" s="118" t="s">
        <v>382</v>
      </c>
      <c r="B103" s="119">
        <v>3039</v>
      </c>
      <c r="C103" s="120" t="s">
        <v>407</v>
      </c>
      <c r="D103" s="121">
        <v>1500</v>
      </c>
      <c r="E103" s="122">
        <v>0</v>
      </c>
      <c r="F103" s="121">
        <v>1500</v>
      </c>
      <c r="G103" s="122">
        <f t="shared" si="1"/>
        <v>0</v>
      </c>
    </row>
    <row r="104" spans="1:7" ht="15" customHeight="1">
      <c r="A104" s="118" t="s">
        <v>382</v>
      </c>
      <c r="B104" s="119">
        <v>4018</v>
      </c>
      <c r="C104" s="120" t="s">
        <v>386</v>
      </c>
      <c r="D104" s="121">
        <v>125752</v>
      </c>
      <c r="E104" s="122">
        <v>76848</v>
      </c>
      <c r="F104" s="121">
        <v>0</v>
      </c>
      <c r="G104" s="122">
        <f t="shared" si="1"/>
        <v>202600</v>
      </c>
    </row>
    <row r="105" spans="1:7" ht="15" customHeight="1">
      <c r="A105" s="118" t="s">
        <v>382</v>
      </c>
      <c r="B105" s="119">
        <v>4019</v>
      </c>
      <c r="C105" s="120" t="s">
        <v>386</v>
      </c>
      <c r="D105" s="121">
        <v>22190</v>
      </c>
      <c r="E105" s="122">
        <v>13563</v>
      </c>
      <c r="F105" s="121">
        <v>0</v>
      </c>
      <c r="G105" s="122">
        <f t="shared" si="1"/>
        <v>35753</v>
      </c>
    </row>
    <row r="106" spans="1:7" ht="15" customHeight="1">
      <c r="A106" s="118" t="s">
        <v>382</v>
      </c>
      <c r="B106" s="119">
        <v>4048</v>
      </c>
      <c r="C106" s="120" t="s">
        <v>399</v>
      </c>
      <c r="D106" s="121">
        <v>31496</v>
      </c>
      <c r="E106" s="122">
        <v>0</v>
      </c>
      <c r="F106" s="121">
        <v>9850</v>
      </c>
      <c r="G106" s="122">
        <f t="shared" si="1"/>
        <v>21646</v>
      </c>
    </row>
    <row r="107" spans="1:7" ht="15" customHeight="1">
      <c r="A107" s="118" t="s">
        <v>382</v>
      </c>
      <c r="B107" s="119">
        <v>4049</v>
      </c>
      <c r="C107" s="120" t="s">
        <v>399</v>
      </c>
      <c r="D107" s="121">
        <v>5559</v>
      </c>
      <c r="E107" s="122">
        <v>0</v>
      </c>
      <c r="F107" s="121">
        <v>1738</v>
      </c>
      <c r="G107" s="122">
        <f t="shared" si="1"/>
        <v>3821</v>
      </c>
    </row>
    <row r="108" spans="1:7" ht="15" customHeight="1">
      <c r="A108" s="118" t="s">
        <v>382</v>
      </c>
      <c r="B108" s="119">
        <v>4118</v>
      </c>
      <c r="C108" s="120" t="s">
        <v>387</v>
      </c>
      <c r="D108" s="121">
        <v>27031</v>
      </c>
      <c r="E108" s="122">
        <v>11517</v>
      </c>
      <c r="F108" s="121">
        <v>0</v>
      </c>
      <c r="G108" s="122">
        <f t="shared" si="1"/>
        <v>38548</v>
      </c>
    </row>
    <row r="109" spans="1:7" ht="15" customHeight="1">
      <c r="A109" s="118" t="s">
        <v>382</v>
      </c>
      <c r="B109" s="119">
        <v>4119</v>
      </c>
      <c r="C109" s="120" t="s">
        <v>387</v>
      </c>
      <c r="D109" s="121">
        <v>4771</v>
      </c>
      <c r="E109" s="122">
        <v>2032</v>
      </c>
      <c r="F109" s="121">
        <v>0</v>
      </c>
      <c r="G109" s="122">
        <f t="shared" si="1"/>
        <v>6803</v>
      </c>
    </row>
    <row r="110" spans="1:7" ht="15" customHeight="1">
      <c r="A110" s="118" t="s">
        <v>382</v>
      </c>
      <c r="B110" s="119">
        <v>4128</v>
      </c>
      <c r="C110" s="120" t="s">
        <v>388</v>
      </c>
      <c r="D110" s="121">
        <v>3853</v>
      </c>
      <c r="E110" s="122">
        <v>1641</v>
      </c>
      <c r="F110" s="121">
        <v>0</v>
      </c>
      <c r="G110" s="122">
        <f t="shared" si="1"/>
        <v>5494</v>
      </c>
    </row>
    <row r="111" spans="1:7" ht="15" customHeight="1">
      <c r="A111" s="118" t="s">
        <v>382</v>
      </c>
      <c r="B111" s="119">
        <v>4129</v>
      </c>
      <c r="C111" s="120" t="s">
        <v>388</v>
      </c>
      <c r="D111" s="121">
        <v>679</v>
      </c>
      <c r="E111" s="122">
        <v>290</v>
      </c>
      <c r="F111" s="121">
        <v>0</v>
      </c>
      <c r="G111" s="122">
        <f t="shared" si="1"/>
        <v>969</v>
      </c>
    </row>
    <row r="112" spans="1:7" ht="15" customHeight="1">
      <c r="A112" s="118" t="s">
        <v>382</v>
      </c>
      <c r="B112" s="119">
        <v>4218</v>
      </c>
      <c r="C112" s="120" t="s">
        <v>390</v>
      </c>
      <c r="D112" s="121">
        <v>3400</v>
      </c>
      <c r="E112" s="122">
        <v>4008</v>
      </c>
      <c r="F112" s="121">
        <v>0</v>
      </c>
      <c r="G112" s="122">
        <f t="shared" si="1"/>
        <v>7408</v>
      </c>
    </row>
    <row r="113" spans="1:7" ht="15" customHeight="1">
      <c r="A113" s="118" t="s">
        <v>382</v>
      </c>
      <c r="B113" s="119">
        <v>4219</v>
      </c>
      <c r="C113" s="120" t="s">
        <v>390</v>
      </c>
      <c r="D113" s="121">
        <v>600</v>
      </c>
      <c r="E113" s="122">
        <v>707</v>
      </c>
      <c r="F113" s="121">
        <v>0</v>
      </c>
      <c r="G113" s="122">
        <f t="shared" si="1"/>
        <v>1307</v>
      </c>
    </row>
    <row r="114" spans="1:7" ht="15" customHeight="1">
      <c r="A114" s="118" t="s">
        <v>382</v>
      </c>
      <c r="B114" s="119">
        <v>4308</v>
      </c>
      <c r="C114" s="120" t="s">
        <v>391</v>
      </c>
      <c r="D114" s="121">
        <v>184792</v>
      </c>
      <c r="E114" s="122">
        <v>41992</v>
      </c>
      <c r="F114" s="121">
        <v>0</v>
      </c>
      <c r="G114" s="122">
        <f t="shared" si="1"/>
        <v>226784</v>
      </c>
    </row>
    <row r="115" spans="1:7" ht="15" customHeight="1">
      <c r="A115" s="118" t="s">
        <v>382</v>
      </c>
      <c r="B115" s="119">
        <v>4309</v>
      </c>
      <c r="C115" s="120" t="s">
        <v>391</v>
      </c>
      <c r="D115" s="121">
        <v>32611</v>
      </c>
      <c r="E115" s="122">
        <v>7408</v>
      </c>
      <c r="F115" s="121">
        <v>0</v>
      </c>
      <c r="G115" s="122">
        <f t="shared" si="1"/>
        <v>40019</v>
      </c>
    </row>
    <row r="116" spans="1:7" ht="15" customHeight="1">
      <c r="A116" s="118" t="s">
        <v>382</v>
      </c>
      <c r="B116" s="119">
        <v>4388</v>
      </c>
      <c r="C116" s="120" t="s">
        <v>423</v>
      </c>
      <c r="D116" s="121">
        <v>5950</v>
      </c>
      <c r="E116" s="122">
        <v>4025</v>
      </c>
      <c r="F116" s="121">
        <v>0</v>
      </c>
      <c r="G116" s="122">
        <f t="shared" si="1"/>
        <v>9975</v>
      </c>
    </row>
    <row r="117" spans="1:7" ht="15" customHeight="1">
      <c r="A117" s="118" t="s">
        <v>382</v>
      </c>
      <c r="B117" s="119">
        <v>4389</v>
      </c>
      <c r="C117" s="120" t="s">
        <v>423</v>
      </c>
      <c r="D117" s="121">
        <v>1050</v>
      </c>
      <c r="E117" s="122">
        <v>710</v>
      </c>
      <c r="F117" s="121">
        <v>0</v>
      </c>
      <c r="G117" s="122">
        <f t="shared" si="1"/>
        <v>1760</v>
      </c>
    </row>
    <row r="118" spans="1:7" ht="15" customHeight="1">
      <c r="A118" s="118" t="s">
        <v>382</v>
      </c>
      <c r="B118" s="119">
        <v>4418</v>
      </c>
      <c r="C118" s="120" t="s">
        <v>392</v>
      </c>
      <c r="D118" s="121">
        <v>1700</v>
      </c>
      <c r="E118" s="122">
        <v>3825</v>
      </c>
      <c r="F118" s="121">
        <v>0</v>
      </c>
      <c r="G118" s="122">
        <f t="shared" si="1"/>
        <v>5525</v>
      </c>
    </row>
    <row r="119" spans="1:7" ht="15" customHeight="1">
      <c r="A119" s="123" t="s">
        <v>382</v>
      </c>
      <c r="B119" s="124">
        <v>4419</v>
      </c>
      <c r="C119" s="125" t="s">
        <v>392</v>
      </c>
      <c r="D119" s="126">
        <v>300</v>
      </c>
      <c r="E119" s="127">
        <v>675</v>
      </c>
      <c r="F119" s="126">
        <v>0</v>
      </c>
      <c r="G119" s="127">
        <f t="shared" si="1"/>
        <v>975</v>
      </c>
    </row>
    <row r="120" spans="1:7" ht="15" customHeight="1">
      <c r="A120" s="461" t="s">
        <v>382</v>
      </c>
      <c r="B120" s="462">
        <v>4428</v>
      </c>
      <c r="C120" s="463" t="s">
        <v>393</v>
      </c>
      <c r="D120" s="464">
        <v>28686</v>
      </c>
      <c r="E120" s="465">
        <v>7464</v>
      </c>
      <c r="F120" s="464">
        <v>0</v>
      </c>
      <c r="G120" s="465">
        <f t="shared" si="1"/>
        <v>36150</v>
      </c>
    </row>
    <row r="121" spans="1:7" ht="15" customHeight="1">
      <c r="A121" s="118" t="s">
        <v>382</v>
      </c>
      <c r="B121" s="119">
        <v>4429</v>
      </c>
      <c r="C121" s="120" t="s">
        <v>393</v>
      </c>
      <c r="D121" s="121">
        <v>5062</v>
      </c>
      <c r="E121" s="122">
        <v>1318</v>
      </c>
      <c r="F121" s="121">
        <v>0</v>
      </c>
      <c r="G121" s="122">
        <f t="shared" si="1"/>
        <v>6380</v>
      </c>
    </row>
    <row r="122" spans="1:7" ht="15" customHeight="1">
      <c r="A122" s="118" t="s">
        <v>382</v>
      </c>
      <c r="B122" s="119">
        <v>4438</v>
      </c>
      <c r="C122" s="120" t="s">
        <v>394</v>
      </c>
      <c r="D122" s="121">
        <v>595</v>
      </c>
      <c r="E122" s="122">
        <v>170</v>
      </c>
      <c r="F122" s="121">
        <v>0</v>
      </c>
      <c r="G122" s="122">
        <f t="shared" si="1"/>
        <v>765</v>
      </c>
    </row>
    <row r="123" spans="1:7" ht="15" customHeight="1">
      <c r="A123" s="118" t="s">
        <v>382</v>
      </c>
      <c r="B123" s="119">
        <v>4439</v>
      </c>
      <c r="C123" s="120" t="s">
        <v>394</v>
      </c>
      <c r="D123" s="121">
        <v>105</v>
      </c>
      <c r="E123" s="122">
        <v>30</v>
      </c>
      <c r="F123" s="121">
        <v>0</v>
      </c>
      <c r="G123" s="122">
        <f t="shared" si="1"/>
        <v>135</v>
      </c>
    </row>
    <row r="124" spans="1:7" s="133" customFormat="1" ht="15" customHeight="1">
      <c r="A124" s="134" t="s">
        <v>22</v>
      </c>
      <c r="B124" s="135" t="s">
        <v>382</v>
      </c>
      <c r="C124" s="136" t="s">
        <v>23</v>
      </c>
      <c r="D124" s="137">
        <v>795140</v>
      </c>
      <c r="E124" s="138">
        <f>E125</f>
        <v>82755</v>
      </c>
      <c r="F124" s="138">
        <f>F125</f>
        <v>0</v>
      </c>
      <c r="G124" s="138">
        <f t="shared" si="1"/>
        <v>877895</v>
      </c>
    </row>
    <row r="125" spans="1:7" s="133" customFormat="1" ht="15" customHeight="1">
      <c r="A125" s="128">
        <v>70005</v>
      </c>
      <c r="B125" s="129" t="s">
        <v>382</v>
      </c>
      <c r="C125" s="130" t="s">
        <v>114</v>
      </c>
      <c r="D125" s="131">
        <v>795140</v>
      </c>
      <c r="E125" s="132">
        <f>E126</f>
        <v>82755</v>
      </c>
      <c r="F125" s="132">
        <f>F126</f>
        <v>0</v>
      </c>
      <c r="G125" s="132">
        <f t="shared" si="1"/>
        <v>877895</v>
      </c>
    </row>
    <row r="126" spans="1:7" ht="15" customHeight="1">
      <c r="A126" s="118" t="s">
        <v>382</v>
      </c>
      <c r="B126" s="119">
        <v>6050</v>
      </c>
      <c r="C126" s="120" t="s">
        <v>396</v>
      </c>
      <c r="D126" s="121">
        <v>22640</v>
      </c>
      <c r="E126" s="122">
        <v>82755</v>
      </c>
      <c r="F126" s="121">
        <v>0</v>
      </c>
      <c r="G126" s="122">
        <f t="shared" si="1"/>
        <v>105395</v>
      </c>
    </row>
    <row r="127" spans="1:7" s="133" customFormat="1" ht="15" customHeight="1">
      <c r="A127" s="134" t="s">
        <v>25</v>
      </c>
      <c r="B127" s="135" t="s">
        <v>382</v>
      </c>
      <c r="C127" s="136" t="s">
        <v>26</v>
      </c>
      <c r="D127" s="137">
        <v>4970225</v>
      </c>
      <c r="E127" s="138">
        <f>E128</f>
        <v>2152700</v>
      </c>
      <c r="F127" s="138">
        <f>F128</f>
        <v>0</v>
      </c>
      <c r="G127" s="138">
        <f t="shared" si="1"/>
        <v>7122925</v>
      </c>
    </row>
    <row r="128" spans="1:7" s="133" customFormat="1" ht="15" customHeight="1">
      <c r="A128" s="128">
        <v>71095</v>
      </c>
      <c r="B128" s="129" t="s">
        <v>382</v>
      </c>
      <c r="C128" s="130" t="s">
        <v>51</v>
      </c>
      <c r="D128" s="131">
        <v>0</v>
      </c>
      <c r="E128" s="132">
        <f>E129</f>
        <v>2152700</v>
      </c>
      <c r="F128" s="132">
        <f>F129</f>
        <v>0</v>
      </c>
      <c r="G128" s="132">
        <f t="shared" si="1"/>
        <v>2152700</v>
      </c>
    </row>
    <row r="129" spans="1:7" ht="15" customHeight="1">
      <c r="A129" s="118" t="s">
        <v>382</v>
      </c>
      <c r="B129" s="119">
        <v>6010</v>
      </c>
      <c r="C129" s="120" t="s">
        <v>406</v>
      </c>
      <c r="D129" s="121">
        <v>0</v>
      </c>
      <c r="E129" s="122">
        <v>2152700</v>
      </c>
      <c r="F129" s="121">
        <v>0</v>
      </c>
      <c r="G129" s="122">
        <f t="shared" si="1"/>
        <v>2152700</v>
      </c>
    </row>
    <row r="130" spans="1:7" s="133" customFormat="1" ht="15" customHeight="1">
      <c r="A130" s="134" t="s">
        <v>69</v>
      </c>
      <c r="B130" s="135" t="s">
        <v>382</v>
      </c>
      <c r="C130" s="136" t="s">
        <v>70</v>
      </c>
      <c r="D130" s="137">
        <v>70946798</v>
      </c>
      <c r="E130" s="138">
        <f>E131</f>
        <v>37880314</v>
      </c>
      <c r="F130" s="138">
        <f>F131</f>
        <v>348219</v>
      </c>
      <c r="G130" s="138">
        <f t="shared" si="1"/>
        <v>108478893</v>
      </c>
    </row>
    <row r="131" spans="1:7" s="133" customFormat="1" ht="15" customHeight="1">
      <c r="A131" s="128">
        <v>72095</v>
      </c>
      <c r="B131" s="129" t="s">
        <v>382</v>
      </c>
      <c r="C131" s="130" t="s">
        <v>51</v>
      </c>
      <c r="D131" s="131">
        <v>70946798</v>
      </c>
      <c r="E131" s="132">
        <f>SUM(E132:E148)</f>
        <v>37880314</v>
      </c>
      <c r="F131" s="132">
        <f>SUM(F132:F148)</f>
        <v>348219</v>
      </c>
      <c r="G131" s="132">
        <f t="shared" si="1"/>
        <v>108478893</v>
      </c>
    </row>
    <row r="132" spans="1:7" ht="15" customHeight="1">
      <c r="A132" s="118" t="s">
        <v>382</v>
      </c>
      <c r="B132" s="119">
        <v>4217</v>
      </c>
      <c r="C132" s="120" t="s">
        <v>390</v>
      </c>
      <c r="D132" s="121">
        <v>21250</v>
      </c>
      <c r="E132" s="122">
        <v>79390</v>
      </c>
      <c r="F132" s="121">
        <v>0</v>
      </c>
      <c r="G132" s="122">
        <f t="shared" si="1"/>
        <v>100640</v>
      </c>
    </row>
    <row r="133" spans="1:7" ht="15" customHeight="1">
      <c r="A133" s="118" t="s">
        <v>382</v>
      </c>
      <c r="B133" s="119">
        <v>4219</v>
      </c>
      <c r="C133" s="120" t="s">
        <v>390</v>
      </c>
      <c r="D133" s="121">
        <v>3750</v>
      </c>
      <c r="E133" s="122">
        <v>14010</v>
      </c>
      <c r="F133" s="121">
        <v>0</v>
      </c>
      <c r="G133" s="122">
        <f t="shared" si="1"/>
        <v>17760</v>
      </c>
    </row>
    <row r="134" spans="1:7" ht="15" customHeight="1">
      <c r="A134" s="118" t="s">
        <v>382</v>
      </c>
      <c r="B134" s="119">
        <v>4227</v>
      </c>
      <c r="C134" s="120" t="s">
        <v>408</v>
      </c>
      <c r="D134" s="121">
        <v>7650</v>
      </c>
      <c r="E134" s="122">
        <v>0</v>
      </c>
      <c r="F134" s="121">
        <v>1700</v>
      </c>
      <c r="G134" s="122">
        <f t="shared" si="1"/>
        <v>5950</v>
      </c>
    </row>
    <row r="135" spans="1:7" ht="15" customHeight="1">
      <c r="A135" s="118" t="s">
        <v>382</v>
      </c>
      <c r="B135" s="119">
        <v>4229</v>
      </c>
      <c r="C135" s="120" t="s">
        <v>408</v>
      </c>
      <c r="D135" s="121">
        <v>1350</v>
      </c>
      <c r="E135" s="122">
        <v>0</v>
      </c>
      <c r="F135" s="121">
        <v>300</v>
      </c>
      <c r="G135" s="122">
        <f t="shared" si="1"/>
        <v>1050</v>
      </c>
    </row>
    <row r="136" spans="1:7" ht="15" customHeight="1">
      <c r="A136" s="118" t="s">
        <v>382</v>
      </c>
      <c r="B136" s="119">
        <v>4307</v>
      </c>
      <c r="C136" s="120" t="s">
        <v>391</v>
      </c>
      <c r="D136" s="121">
        <v>1863710</v>
      </c>
      <c r="E136" s="122">
        <v>0</v>
      </c>
      <c r="F136" s="121">
        <v>284936</v>
      </c>
      <c r="G136" s="122">
        <f t="shared" si="1"/>
        <v>1578774</v>
      </c>
    </row>
    <row r="137" spans="1:7" ht="15" customHeight="1">
      <c r="A137" s="118" t="s">
        <v>382</v>
      </c>
      <c r="B137" s="119">
        <v>4309</v>
      </c>
      <c r="C137" s="120" t="s">
        <v>391</v>
      </c>
      <c r="D137" s="121">
        <v>328890</v>
      </c>
      <c r="E137" s="122">
        <v>0</v>
      </c>
      <c r="F137" s="121">
        <v>50283</v>
      </c>
      <c r="G137" s="122">
        <f t="shared" si="1"/>
        <v>278607</v>
      </c>
    </row>
    <row r="138" spans="1:7" ht="15" customHeight="1">
      <c r="A138" s="118" t="s">
        <v>382</v>
      </c>
      <c r="B138" s="119">
        <v>4427</v>
      </c>
      <c r="C138" s="120" t="s">
        <v>393</v>
      </c>
      <c r="D138" s="121">
        <v>9350</v>
      </c>
      <c r="E138" s="122">
        <v>0</v>
      </c>
      <c r="F138" s="121">
        <v>9350</v>
      </c>
      <c r="G138" s="122">
        <f t="shared" si="1"/>
        <v>0</v>
      </c>
    </row>
    <row r="139" spans="1:7" ht="15" customHeight="1">
      <c r="A139" s="118" t="s">
        <v>382</v>
      </c>
      <c r="B139" s="119">
        <v>4429</v>
      </c>
      <c r="C139" s="120" t="s">
        <v>393</v>
      </c>
      <c r="D139" s="121">
        <v>1650</v>
      </c>
      <c r="E139" s="122">
        <v>0</v>
      </c>
      <c r="F139" s="121">
        <v>1650</v>
      </c>
      <c r="G139" s="122">
        <f t="shared" si="1"/>
        <v>0</v>
      </c>
    </row>
    <row r="140" spans="1:7" ht="28.15" customHeight="1">
      <c r="A140" s="118" t="s">
        <v>382</v>
      </c>
      <c r="B140" s="119">
        <v>4707</v>
      </c>
      <c r="C140" s="120" t="s">
        <v>409</v>
      </c>
      <c r="D140" s="121">
        <v>44200</v>
      </c>
      <c r="E140" s="122">
        <v>131750</v>
      </c>
      <c r="F140" s="121">
        <v>0</v>
      </c>
      <c r="G140" s="122">
        <f t="shared" ref="G140:G203" si="2">D140+E140-F140</f>
        <v>175950</v>
      </c>
    </row>
    <row r="141" spans="1:7" ht="28.15" customHeight="1">
      <c r="A141" s="118" t="s">
        <v>382</v>
      </c>
      <c r="B141" s="119">
        <v>4709</v>
      </c>
      <c r="C141" s="120" t="s">
        <v>409</v>
      </c>
      <c r="D141" s="121">
        <v>7800</v>
      </c>
      <c r="E141" s="122">
        <v>23250</v>
      </c>
      <c r="F141" s="121">
        <v>0</v>
      </c>
      <c r="G141" s="122">
        <f t="shared" si="2"/>
        <v>31050</v>
      </c>
    </row>
    <row r="142" spans="1:7" ht="15" customHeight="1">
      <c r="A142" s="118" t="s">
        <v>382</v>
      </c>
      <c r="B142" s="119">
        <v>6057</v>
      </c>
      <c r="C142" s="120" t="s">
        <v>396</v>
      </c>
      <c r="D142" s="121">
        <v>4842450</v>
      </c>
      <c r="E142" s="122">
        <v>6989646</v>
      </c>
      <c r="F142" s="121">
        <v>0</v>
      </c>
      <c r="G142" s="122">
        <f t="shared" si="2"/>
        <v>11832096</v>
      </c>
    </row>
    <row r="143" spans="1:7" ht="15" customHeight="1">
      <c r="A143" s="118" t="s">
        <v>382</v>
      </c>
      <c r="B143" s="119">
        <v>6059</v>
      </c>
      <c r="C143" s="120" t="s">
        <v>396</v>
      </c>
      <c r="D143" s="121">
        <v>854550</v>
      </c>
      <c r="E143" s="122">
        <v>1191685</v>
      </c>
      <c r="F143" s="121">
        <v>0</v>
      </c>
      <c r="G143" s="122">
        <f t="shared" si="2"/>
        <v>2046235</v>
      </c>
    </row>
    <row r="144" spans="1:7" ht="15" customHeight="1">
      <c r="A144" s="118" t="s">
        <v>382</v>
      </c>
      <c r="B144" s="119">
        <v>6067</v>
      </c>
      <c r="C144" s="120" t="s">
        <v>398</v>
      </c>
      <c r="D144" s="121">
        <v>1763466</v>
      </c>
      <c r="E144" s="122">
        <v>5337191</v>
      </c>
      <c r="F144" s="121">
        <v>0</v>
      </c>
      <c r="G144" s="122">
        <f t="shared" si="2"/>
        <v>7100657</v>
      </c>
    </row>
    <row r="145" spans="1:7" ht="15" customHeight="1">
      <c r="A145" s="118" t="s">
        <v>382</v>
      </c>
      <c r="B145" s="119">
        <v>6069</v>
      </c>
      <c r="C145" s="120" t="s">
        <v>398</v>
      </c>
      <c r="D145" s="121">
        <v>311200</v>
      </c>
      <c r="E145" s="122">
        <v>941857</v>
      </c>
      <c r="F145" s="121">
        <v>0</v>
      </c>
      <c r="G145" s="122">
        <f t="shared" si="2"/>
        <v>1253057</v>
      </c>
    </row>
    <row r="146" spans="1:7" ht="66" customHeight="1">
      <c r="A146" s="118" t="s">
        <v>382</v>
      </c>
      <c r="B146" s="119">
        <v>6207</v>
      </c>
      <c r="C146" s="120" t="s">
        <v>410</v>
      </c>
      <c r="D146" s="121">
        <v>24089829</v>
      </c>
      <c r="E146" s="122">
        <v>13946358</v>
      </c>
      <c r="F146" s="121">
        <v>0</v>
      </c>
      <c r="G146" s="122">
        <f t="shared" si="2"/>
        <v>38036187</v>
      </c>
    </row>
    <row r="147" spans="1:7" ht="41.25" customHeight="1">
      <c r="A147" s="118" t="s">
        <v>382</v>
      </c>
      <c r="B147" s="119">
        <v>6220</v>
      </c>
      <c r="C147" s="120" t="s">
        <v>405</v>
      </c>
      <c r="D147" s="121">
        <v>256491</v>
      </c>
      <c r="E147" s="122">
        <v>459505</v>
      </c>
      <c r="F147" s="121">
        <v>0</v>
      </c>
      <c r="G147" s="122">
        <f t="shared" si="2"/>
        <v>715996</v>
      </c>
    </row>
    <row r="148" spans="1:7" ht="67.5" customHeight="1">
      <c r="A148" s="118" t="s">
        <v>382</v>
      </c>
      <c r="B148" s="119">
        <v>6257</v>
      </c>
      <c r="C148" s="120" t="s">
        <v>411</v>
      </c>
      <c r="D148" s="121">
        <v>30284190</v>
      </c>
      <c r="E148" s="122">
        <v>8765672</v>
      </c>
      <c r="F148" s="121">
        <v>0</v>
      </c>
      <c r="G148" s="122">
        <f t="shared" si="2"/>
        <v>39049862</v>
      </c>
    </row>
    <row r="149" spans="1:7" s="133" customFormat="1" ht="15" customHeight="1">
      <c r="A149" s="134" t="s">
        <v>28</v>
      </c>
      <c r="B149" s="135" t="s">
        <v>382</v>
      </c>
      <c r="C149" s="136" t="s">
        <v>29</v>
      </c>
      <c r="D149" s="137">
        <v>147641771</v>
      </c>
      <c r="E149" s="138">
        <f>E150+E155</f>
        <v>1374830</v>
      </c>
      <c r="F149" s="138">
        <f>F150+F155</f>
        <v>2700564</v>
      </c>
      <c r="G149" s="138">
        <f t="shared" si="2"/>
        <v>146316037</v>
      </c>
    </row>
    <row r="150" spans="1:7" s="133" customFormat="1" ht="15" customHeight="1">
      <c r="A150" s="128">
        <v>75018</v>
      </c>
      <c r="B150" s="129" t="s">
        <v>382</v>
      </c>
      <c r="C150" s="130" t="s">
        <v>120</v>
      </c>
      <c r="D150" s="131">
        <v>112359971</v>
      </c>
      <c r="E150" s="132">
        <f>SUM(E151:E154)</f>
        <v>0</v>
      </c>
      <c r="F150" s="132">
        <f>SUM(F151:F154)</f>
        <v>298482</v>
      </c>
      <c r="G150" s="132">
        <f t="shared" si="2"/>
        <v>112061489</v>
      </c>
    </row>
    <row r="151" spans="1:7" ht="15" customHeight="1">
      <c r="A151" s="118" t="s">
        <v>382</v>
      </c>
      <c r="B151" s="119">
        <v>4308</v>
      </c>
      <c r="C151" s="120" t="s">
        <v>391</v>
      </c>
      <c r="D151" s="121">
        <v>11561539</v>
      </c>
      <c r="E151" s="122">
        <v>0</v>
      </c>
      <c r="F151" s="121">
        <v>123660</v>
      </c>
      <c r="G151" s="122">
        <f t="shared" si="2"/>
        <v>11437879</v>
      </c>
    </row>
    <row r="152" spans="1:7" ht="15" customHeight="1">
      <c r="A152" s="118" t="s">
        <v>382</v>
      </c>
      <c r="B152" s="119">
        <v>4309</v>
      </c>
      <c r="C152" s="120" t="s">
        <v>391</v>
      </c>
      <c r="D152" s="121">
        <v>2040272</v>
      </c>
      <c r="E152" s="122">
        <v>0</v>
      </c>
      <c r="F152" s="121">
        <v>21822</v>
      </c>
      <c r="G152" s="122">
        <f t="shared" si="2"/>
        <v>2018450</v>
      </c>
    </row>
    <row r="153" spans="1:7" ht="27" customHeight="1">
      <c r="A153" s="118" t="s">
        <v>382</v>
      </c>
      <c r="B153" s="119">
        <v>4708</v>
      </c>
      <c r="C153" s="120" t="s">
        <v>409</v>
      </c>
      <c r="D153" s="121">
        <v>541450</v>
      </c>
      <c r="E153" s="122">
        <v>0</v>
      </c>
      <c r="F153" s="121">
        <v>130050</v>
      </c>
      <c r="G153" s="122">
        <f t="shared" si="2"/>
        <v>411400</v>
      </c>
    </row>
    <row r="154" spans="1:7" ht="27" customHeight="1">
      <c r="A154" s="118" t="s">
        <v>382</v>
      </c>
      <c r="B154" s="119">
        <v>4709</v>
      </c>
      <c r="C154" s="120" t="s">
        <v>409</v>
      </c>
      <c r="D154" s="121">
        <v>95550</v>
      </c>
      <c r="E154" s="122">
        <v>0</v>
      </c>
      <c r="F154" s="121">
        <v>22950</v>
      </c>
      <c r="G154" s="122">
        <f t="shared" si="2"/>
        <v>72600</v>
      </c>
    </row>
    <row r="155" spans="1:7" s="133" customFormat="1" ht="15" customHeight="1">
      <c r="A155" s="128">
        <v>75075</v>
      </c>
      <c r="B155" s="129" t="s">
        <v>382</v>
      </c>
      <c r="C155" s="130" t="s">
        <v>124</v>
      </c>
      <c r="D155" s="131">
        <v>29177732</v>
      </c>
      <c r="E155" s="132">
        <f>SUM(E156:E165)</f>
        <v>1374830</v>
      </c>
      <c r="F155" s="132">
        <f>SUM(F156:F165)</f>
        <v>2402082</v>
      </c>
      <c r="G155" s="132">
        <f t="shared" si="2"/>
        <v>28150480</v>
      </c>
    </row>
    <row r="156" spans="1:7" ht="65.25" customHeight="1">
      <c r="A156" s="118" t="s">
        <v>382</v>
      </c>
      <c r="B156" s="119">
        <v>2007</v>
      </c>
      <c r="C156" s="120" t="s">
        <v>384</v>
      </c>
      <c r="D156" s="121">
        <v>3846589</v>
      </c>
      <c r="E156" s="122">
        <v>0</v>
      </c>
      <c r="F156" s="121">
        <v>1594351</v>
      </c>
      <c r="G156" s="122">
        <f t="shared" si="2"/>
        <v>2252238</v>
      </c>
    </row>
    <row r="157" spans="1:7" ht="15" customHeight="1">
      <c r="A157" s="118" t="s">
        <v>382</v>
      </c>
      <c r="B157" s="119">
        <v>4017</v>
      </c>
      <c r="C157" s="120" t="s">
        <v>386</v>
      </c>
      <c r="D157" s="121">
        <v>482989</v>
      </c>
      <c r="E157" s="122">
        <v>10518</v>
      </c>
      <c r="F157" s="121">
        <v>0</v>
      </c>
      <c r="G157" s="122">
        <f t="shared" si="2"/>
        <v>493507</v>
      </c>
    </row>
    <row r="158" spans="1:7" ht="15" customHeight="1">
      <c r="A158" s="118" t="s">
        <v>382</v>
      </c>
      <c r="B158" s="119">
        <v>4019</v>
      </c>
      <c r="C158" s="120" t="s">
        <v>386</v>
      </c>
      <c r="D158" s="121">
        <v>85233</v>
      </c>
      <c r="E158" s="122">
        <v>1856</v>
      </c>
      <c r="F158" s="121">
        <v>0</v>
      </c>
      <c r="G158" s="122">
        <f t="shared" si="2"/>
        <v>87089</v>
      </c>
    </row>
    <row r="159" spans="1:7" ht="15" customHeight="1">
      <c r="A159" s="118" t="s">
        <v>382</v>
      </c>
      <c r="B159" s="119">
        <v>4117</v>
      </c>
      <c r="C159" s="120" t="s">
        <v>387</v>
      </c>
      <c r="D159" s="121">
        <v>85152</v>
      </c>
      <c r="E159" s="122">
        <v>461</v>
      </c>
      <c r="F159" s="121">
        <v>0</v>
      </c>
      <c r="G159" s="122">
        <f t="shared" si="2"/>
        <v>85613</v>
      </c>
    </row>
    <row r="160" spans="1:7" ht="15" customHeight="1">
      <c r="A160" s="118" t="s">
        <v>382</v>
      </c>
      <c r="B160" s="119">
        <v>4119</v>
      </c>
      <c r="C160" s="120" t="s">
        <v>387</v>
      </c>
      <c r="D160" s="121">
        <v>15027</v>
      </c>
      <c r="E160" s="122">
        <v>81</v>
      </c>
      <c r="F160" s="121">
        <v>0</v>
      </c>
      <c r="G160" s="122">
        <f t="shared" si="2"/>
        <v>15108</v>
      </c>
    </row>
    <row r="161" spans="1:7" ht="15" customHeight="1">
      <c r="A161" s="118" t="s">
        <v>382</v>
      </c>
      <c r="B161" s="119">
        <v>4300</v>
      </c>
      <c r="C161" s="120" t="s">
        <v>391</v>
      </c>
      <c r="D161" s="121">
        <v>6595500</v>
      </c>
      <c r="E161" s="122">
        <v>0</v>
      </c>
      <c r="F161" s="121">
        <v>800000</v>
      </c>
      <c r="G161" s="122">
        <f t="shared" si="2"/>
        <v>5795500</v>
      </c>
    </row>
    <row r="162" spans="1:7" ht="15" customHeight="1">
      <c r="A162" s="118" t="s">
        <v>382</v>
      </c>
      <c r="B162" s="119">
        <v>4307</v>
      </c>
      <c r="C162" s="120" t="s">
        <v>391</v>
      </c>
      <c r="D162" s="121">
        <v>14380980</v>
      </c>
      <c r="E162" s="122">
        <v>914999</v>
      </c>
      <c r="F162" s="121">
        <v>0</v>
      </c>
      <c r="G162" s="122">
        <f t="shared" si="2"/>
        <v>15295979</v>
      </c>
    </row>
    <row r="163" spans="1:7" ht="15" customHeight="1">
      <c r="A163" s="118" t="s">
        <v>382</v>
      </c>
      <c r="B163" s="119">
        <v>4309</v>
      </c>
      <c r="C163" s="120" t="s">
        <v>391</v>
      </c>
      <c r="D163" s="121">
        <v>2770238</v>
      </c>
      <c r="E163" s="122">
        <v>446915</v>
      </c>
      <c r="F163" s="121">
        <v>0</v>
      </c>
      <c r="G163" s="122">
        <f t="shared" si="2"/>
        <v>3217153</v>
      </c>
    </row>
    <row r="164" spans="1:7" ht="28.15" customHeight="1">
      <c r="A164" s="118" t="s">
        <v>382</v>
      </c>
      <c r="B164" s="119">
        <v>4707</v>
      </c>
      <c r="C164" s="120" t="s">
        <v>409</v>
      </c>
      <c r="D164" s="121">
        <v>26546</v>
      </c>
      <c r="E164" s="122">
        <v>0</v>
      </c>
      <c r="F164" s="121">
        <v>6546</v>
      </c>
      <c r="G164" s="122">
        <f t="shared" si="2"/>
        <v>20000</v>
      </c>
    </row>
    <row r="165" spans="1:7" ht="28.15" customHeight="1">
      <c r="A165" s="118" t="s">
        <v>382</v>
      </c>
      <c r="B165" s="119">
        <v>4709</v>
      </c>
      <c r="C165" s="120" t="s">
        <v>409</v>
      </c>
      <c r="D165" s="121">
        <v>4685</v>
      </c>
      <c r="E165" s="122">
        <v>0</v>
      </c>
      <c r="F165" s="121">
        <v>1185</v>
      </c>
      <c r="G165" s="122">
        <f t="shared" si="2"/>
        <v>3500</v>
      </c>
    </row>
    <row r="166" spans="1:7" s="133" customFormat="1" ht="28.15" customHeight="1">
      <c r="A166" s="134" t="s">
        <v>126</v>
      </c>
      <c r="B166" s="135" t="s">
        <v>382</v>
      </c>
      <c r="C166" s="136" t="s">
        <v>127</v>
      </c>
      <c r="D166" s="137">
        <v>1222995</v>
      </c>
      <c r="E166" s="138">
        <f>E167</f>
        <v>60000</v>
      </c>
      <c r="F166" s="138">
        <f>F167</f>
        <v>0</v>
      </c>
      <c r="G166" s="138">
        <f t="shared" si="2"/>
        <v>1282995</v>
      </c>
    </row>
    <row r="167" spans="1:7" s="133" customFormat="1" ht="15" customHeight="1">
      <c r="A167" s="456">
        <v>75495</v>
      </c>
      <c r="B167" s="457" t="s">
        <v>382</v>
      </c>
      <c r="C167" s="458" t="s">
        <v>51</v>
      </c>
      <c r="D167" s="459">
        <v>185000</v>
      </c>
      <c r="E167" s="460">
        <f>E168</f>
        <v>60000</v>
      </c>
      <c r="F167" s="460">
        <f>F168</f>
        <v>0</v>
      </c>
      <c r="G167" s="460">
        <f t="shared" si="2"/>
        <v>245000</v>
      </c>
    </row>
    <row r="168" spans="1:7" ht="15" customHeight="1">
      <c r="A168" s="118" t="s">
        <v>382</v>
      </c>
      <c r="B168" s="119">
        <v>4430</v>
      </c>
      <c r="C168" s="120" t="s">
        <v>394</v>
      </c>
      <c r="D168" s="121">
        <v>40000</v>
      </c>
      <c r="E168" s="122">
        <v>60000</v>
      </c>
      <c r="F168" s="121">
        <v>0</v>
      </c>
      <c r="G168" s="122">
        <f t="shared" si="2"/>
        <v>100000</v>
      </c>
    </row>
    <row r="169" spans="1:7" s="133" customFormat="1" ht="15" customHeight="1">
      <c r="A169" s="134" t="s">
        <v>134</v>
      </c>
      <c r="B169" s="135" t="s">
        <v>382</v>
      </c>
      <c r="C169" s="136" t="s">
        <v>135</v>
      </c>
      <c r="D169" s="137">
        <v>21982723</v>
      </c>
      <c r="E169" s="138">
        <f>E170</f>
        <v>0</v>
      </c>
      <c r="F169" s="138">
        <f>F170</f>
        <v>6500000</v>
      </c>
      <c r="G169" s="138">
        <f t="shared" si="2"/>
        <v>15482723</v>
      </c>
    </row>
    <row r="170" spans="1:7" s="133" customFormat="1" ht="15" customHeight="1">
      <c r="A170" s="128">
        <v>75818</v>
      </c>
      <c r="B170" s="129" t="s">
        <v>382</v>
      </c>
      <c r="C170" s="130" t="s">
        <v>137</v>
      </c>
      <c r="D170" s="131">
        <v>21982723</v>
      </c>
      <c r="E170" s="132">
        <f>E171</f>
        <v>0</v>
      </c>
      <c r="F170" s="132">
        <f>F171</f>
        <v>6500000</v>
      </c>
      <c r="G170" s="132">
        <f t="shared" si="2"/>
        <v>15482723</v>
      </c>
    </row>
    <row r="171" spans="1:7" ht="15" customHeight="1">
      <c r="A171" s="118" t="s">
        <v>382</v>
      </c>
      <c r="B171" s="119">
        <v>6800</v>
      </c>
      <c r="C171" s="120" t="s">
        <v>412</v>
      </c>
      <c r="D171" s="121">
        <v>7799758</v>
      </c>
      <c r="E171" s="122">
        <v>0</v>
      </c>
      <c r="F171" s="121">
        <v>6500000</v>
      </c>
      <c r="G171" s="122">
        <f t="shared" si="2"/>
        <v>1299758</v>
      </c>
    </row>
    <row r="172" spans="1:7" s="133" customFormat="1" ht="15" customHeight="1">
      <c r="A172" s="134" t="s">
        <v>31</v>
      </c>
      <c r="B172" s="135" t="s">
        <v>382</v>
      </c>
      <c r="C172" s="136" t="s">
        <v>32</v>
      </c>
      <c r="D172" s="137">
        <v>90782769</v>
      </c>
      <c r="E172" s="138">
        <f>E173+E184+E192</f>
        <v>661092</v>
      </c>
      <c r="F172" s="138">
        <f>F173+F184+F192</f>
        <v>0</v>
      </c>
      <c r="G172" s="138">
        <f t="shared" si="2"/>
        <v>91443861</v>
      </c>
    </row>
    <row r="173" spans="1:7" s="133" customFormat="1" ht="15" customHeight="1">
      <c r="A173" s="128">
        <v>80134</v>
      </c>
      <c r="B173" s="129" t="s">
        <v>382</v>
      </c>
      <c r="C173" s="130" t="s">
        <v>149</v>
      </c>
      <c r="D173" s="131">
        <v>15950446</v>
      </c>
      <c r="E173" s="132">
        <f>SUM(E174:E183)</f>
        <v>203471</v>
      </c>
      <c r="F173" s="132">
        <f>SUM(F174:F183)</f>
        <v>0</v>
      </c>
      <c r="G173" s="132">
        <f t="shared" si="2"/>
        <v>16153917</v>
      </c>
    </row>
    <row r="174" spans="1:7" ht="15" customHeight="1">
      <c r="A174" s="118" t="s">
        <v>382</v>
      </c>
      <c r="B174" s="119">
        <v>4017</v>
      </c>
      <c r="C174" s="120" t="s">
        <v>386</v>
      </c>
      <c r="D174" s="121">
        <v>120827</v>
      </c>
      <c r="E174" s="122">
        <v>68939</v>
      </c>
      <c r="F174" s="121">
        <v>0</v>
      </c>
      <c r="G174" s="122">
        <f t="shared" si="2"/>
        <v>189766</v>
      </c>
    </row>
    <row r="175" spans="1:7" ht="15" customHeight="1">
      <c r="A175" s="118" t="s">
        <v>382</v>
      </c>
      <c r="B175" s="119">
        <v>4019</v>
      </c>
      <c r="C175" s="120" t="s">
        <v>386</v>
      </c>
      <c r="D175" s="121">
        <v>21323</v>
      </c>
      <c r="E175" s="122">
        <v>7394</v>
      </c>
      <c r="F175" s="121">
        <v>0</v>
      </c>
      <c r="G175" s="122">
        <f t="shared" si="2"/>
        <v>28717</v>
      </c>
    </row>
    <row r="176" spans="1:7" ht="15" customHeight="1">
      <c r="A176" s="118" t="s">
        <v>382</v>
      </c>
      <c r="B176" s="119">
        <v>4117</v>
      </c>
      <c r="C176" s="120" t="s">
        <v>387</v>
      </c>
      <c r="D176" s="121">
        <v>20770</v>
      </c>
      <c r="E176" s="122">
        <v>11850</v>
      </c>
      <c r="F176" s="121">
        <v>0</v>
      </c>
      <c r="G176" s="122">
        <f t="shared" si="2"/>
        <v>32620</v>
      </c>
    </row>
    <row r="177" spans="1:7" ht="15" customHeight="1">
      <c r="A177" s="118" t="s">
        <v>382</v>
      </c>
      <c r="B177" s="119">
        <v>4119</v>
      </c>
      <c r="C177" s="120" t="s">
        <v>387</v>
      </c>
      <c r="D177" s="121">
        <v>3665</v>
      </c>
      <c r="E177" s="122">
        <v>1271</v>
      </c>
      <c r="F177" s="121">
        <v>0</v>
      </c>
      <c r="G177" s="122">
        <f t="shared" si="2"/>
        <v>4936</v>
      </c>
    </row>
    <row r="178" spans="1:7" ht="15" customHeight="1">
      <c r="A178" s="118" t="s">
        <v>382</v>
      </c>
      <c r="B178" s="119">
        <v>4127</v>
      </c>
      <c r="C178" s="120" t="s">
        <v>388</v>
      </c>
      <c r="D178" s="121">
        <v>2961</v>
      </c>
      <c r="E178" s="122">
        <v>1690</v>
      </c>
      <c r="F178" s="121">
        <v>0</v>
      </c>
      <c r="G178" s="122">
        <f t="shared" si="2"/>
        <v>4651</v>
      </c>
    </row>
    <row r="179" spans="1:7" ht="15" customHeight="1">
      <c r="A179" s="118" t="s">
        <v>382</v>
      </c>
      <c r="B179" s="119">
        <v>4129</v>
      </c>
      <c r="C179" s="120" t="s">
        <v>388</v>
      </c>
      <c r="D179" s="121">
        <v>522</v>
      </c>
      <c r="E179" s="122">
        <v>182</v>
      </c>
      <c r="F179" s="121">
        <v>0</v>
      </c>
      <c r="G179" s="122">
        <f t="shared" si="2"/>
        <v>704</v>
      </c>
    </row>
    <row r="180" spans="1:7" ht="15" customHeight="1">
      <c r="A180" s="118" t="s">
        <v>382</v>
      </c>
      <c r="B180" s="119">
        <v>4217</v>
      </c>
      <c r="C180" s="120" t="s">
        <v>390</v>
      </c>
      <c r="D180" s="121">
        <v>11390</v>
      </c>
      <c r="E180" s="122">
        <v>17521</v>
      </c>
      <c r="F180" s="121">
        <v>0</v>
      </c>
      <c r="G180" s="122">
        <f t="shared" si="2"/>
        <v>28911</v>
      </c>
    </row>
    <row r="181" spans="1:7" ht="15" customHeight="1">
      <c r="A181" s="118" t="s">
        <v>382</v>
      </c>
      <c r="B181" s="119">
        <v>4219</v>
      </c>
      <c r="C181" s="120" t="s">
        <v>390</v>
      </c>
      <c r="D181" s="121">
        <v>2010</v>
      </c>
      <c r="E181" s="122">
        <v>1879</v>
      </c>
      <c r="F181" s="121">
        <v>0</v>
      </c>
      <c r="G181" s="122">
        <f t="shared" si="2"/>
        <v>3889</v>
      </c>
    </row>
    <row r="182" spans="1:7" ht="15" customHeight="1">
      <c r="A182" s="118" t="s">
        <v>382</v>
      </c>
      <c r="B182" s="119">
        <v>4307</v>
      </c>
      <c r="C182" s="120" t="s">
        <v>391</v>
      </c>
      <c r="D182" s="121">
        <v>154156</v>
      </c>
      <c r="E182" s="122">
        <v>83761</v>
      </c>
      <c r="F182" s="121">
        <v>0</v>
      </c>
      <c r="G182" s="122">
        <f t="shared" si="2"/>
        <v>237917</v>
      </c>
    </row>
    <row r="183" spans="1:7" ht="15" customHeight="1">
      <c r="A183" s="118" t="s">
        <v>382</v>
      </c>
      <c r="B183" s="119">
        <v>4309</v>
      </c>
      <c r="C183" s="120" t="s">
        <v>391</v>
      </c>
      <c r="D183" s="121">
        <v>27204</v>
      </c>
      <c r="E183" s="122">
        <v>8984</v>
      </c>
      <c r="F183" s="121">
        <v>0</v>
      </c>
      <c r="G183" s="122">
        <f t="shared" si="2"/>
        <v>36188</v>
      </c>
    </row>
    <row r="184" spans="1:7" s="133" customFormat="1" ht="28.15" customHeight="1">
      <c r="A184" s="128">
        <v>80140</v>
      </c>
      <c r="B184" s="129" t="s">
        <v>382</v>
      </c>
      <c r="C184" s="130" t="s">
        <v>204</v>
      </c>
      <c r="D184" s="131">
        <v>13441559</v>
      </c>
      <c r="E184" s="132">
        <f>SUM(E185:E191)</f>
        <v>81451</v>
      </c>
      <c r="F184" s="132">
        <f>SUM(F185:F191)</f>
        <v>0</v>
      </c>
      <c r="G184" s="132">
        <f t="shared" si="2"/>
        <v>13523010</v>
      </c>
    </row>
    <row r="185" spans="1:7" ht="15" customHeight="1">
      <c r="A185" s="118" t="s">
        <v>382</v>
      </c>
      <c r="B185" s="119">
        <v>4017</v>
      </c>
      <c r="C185" s="120" t="s">
        <v>386</v>
      </c>
      <c r="D185" s="121">
        <v>108487</v>
      </c>
      <c r="E185" s="122">
        <v>6768</v>
      </c>
      <c r="F185" s="121">
        <v>0</v>
      </c>
      <c r="G185" s="122">
        <f t="shared" si="2"/>
        <v>115255</v>
      </c>
    </row>
    <row r="186" spans="1:7" ht="15" customHeight="1">
      <c r="A186" s="118" t="s">
        <v>382</v>
      </c>
      <c r="B186" s="119">
        <v>4019</v>
      </c>
      <c r="C186" s="120" t="s">
        <v>386</v>
      </c>
      <c r="D186" s="121">
        <v>19144</v>
      </c>
      <c r="E186" s="122">
        <v>1196</v>
      </c>
      <c r="F186" s="121">
        <v>0</v>
      </c>
      <c r="G186" s="122">
        <f t="shared" si="2"/>
        <v>20340</v>
      </c>
    </row>
    <row r="187" spans="1:7" ht="15" customHeight="1">
      <c r="A187" s="118" t="s">
        <v>382</v>
      </c>
      <c r="B187" s="119">
        <v>4117</v>
      </c>
      <c r="C187" s="120" t="s">
        <v>387</v>
      </c>
      <c r="D187" s="121">
        <v>18649</v>
      </c>
      <c r="E187" s="122">
        <v>1163</v>
      </c>
      <c r="F187" s="121">
        <v>0</v>
      </c>
      <c r="G187" s="122">
        <f t="shared" si="2"/>
        <v>19812</v>
      </c>
    </row>
    <row r="188" spans="1:7" ht="15" customHeight="1">
      <c r="A188" s="118" t="s">
        <v>382</v>
      </c>
      <c r="B188" s="119">
        <v>4119</v>
      </c>
      <c r="C188" s="120" t="s">
        <v>387</v>
      </c>
      <c r="D188" s="121">
        <v>3291</v>
      </c>
      <c r="E188" s="122">
        <v>205</v>
      </c>
      <c r="F188" s="121">
        <v>0</v>
      </c>
      <c r="G188" s="122">
        <f t="shared" si="2"/>
        <v>3496</v>
      </c>
    </row>
    <row r="189" spans="1:7" ht="15" customHeight="1">
      <c r="A189" s="118" t="s">
        <v>382</v>
      </c>
      <c r="B189" s="119">
        <v>4127</v>
      </c>
      <c r="C189" s="120" t="s">
        <v>388</v>
      </c>
      <c r="D189" s="121">
        <v>2658</v>
      </c>
      <c r="E189" s="122">
        <v>166</v>
      </c>
      <c r="F189" s="121">
        <v>0</v>
      </c>
      <c r="G189" s="122">
        <f t="shared" si="2"/>
        <v>2824</v>
      </c>
    </row>
    <row r="190" spans="1:7" ht="15" customHeight="1">
      <c r="A190" s="118" t="s">
        <v>382</v>
      </c>
      <c r="B190" s="119">
        <v>4129</v>
      </c>
      <c r="C190" s="120" t="s">
        <v>388</v>
      </c>
      <c r="D190" s="121">
        <v>469</v>
      </c>
      <c r="E190" s="122">
        <v>29</v>
      </c>
      <c r="F190" s="121">
        <v>0</v>
      </c>
      <c r="G190" s="122">
        <f t="shared" si="2"/>
        <v>498</v>
      </c>
    </row>
    <row r="191" spans="1:7" ht="15" customHeight="1">
      <c r="A191" s="118" t="s">
        <v>382</v>
      </c>
      <c r="B191" s="119">
        <v>6050</v>
      </c>
      <c r="C191" s="120" t="s">
        <v>396</v>
      </c>
      <c r="D191" s="121">
        <v>2070622</v>
      </c>
      <c r="E191" s="122">
        <v>71924</v>
      </c>
      <c r="F191" s="121">
        <v>0</v>
      </c>
      <c r="G191" s="122">
        <f t="shared" si="2"/>
        <v>2142546</v>
      </c>
    </row>
    <row r="192" spans="1:7" s="133" customFormat="1" ht="15" customHeight="1">
      <c r="A192" s="128">
        <v>80195</v>
      </c>
      <c r="B192" s="129" t="s">
        <v>382</v>
      </c>
      <c r="C192" s="130" t="s">
        <v>51</v>
      </c>
      <c r="D192" s="131">
        <v>7249641</v>
      </c>
      <c r="E192" s="132">
        <f>SUM(E193:E200)</f>
        <v>376170</v>
      </c>
      <c r="F192" s="132">
        <f>SUM(F193:F200)</f>
        <v>0</v>
      </c>
      <c r="G192" s="132">
        <f t="shared" si="2"/>
        <v>7625811</v>
      </c>
    </row>
    <row r="193" spans="1:7" ht="65.25" customHeight="1">
      <c r="A193" s="118" t="s">
        <v>382</v>
      </c>
      <c r="B193" s="119">
        <v>2057</v>
      </c>
      <c r="C193" s="120" t="s">
        <v>424</v>
      </c>
      <c r="D193" s="121">
        <v>506687</v>
      </c>
      <c r="E193" s="122">
        <v>220820</v>
      </c>
      <c r="F193" s="121">
        <v>0</v>
      </c>
      <c r="G193" s="122">
        <f t="shared" si="2"/>
        <v>727507</v>
      </c>
    </row>
    <row r="194" spans="1:7" ht="15" customHeight="1">
      <c r="A194" s="118" t="s">
        <v>382</v>
      </c>
      <c r="B194" s="119">
        <v>4017</v>
      </c>
      <c r="C194" s="120" t="s">
        <v>386</v>
      </c>
      <c r="D194" s="121">
        <v>152032</v>
      </c>
      <c r="E194" s="122">
        <v>12519</v>
      </c>
      <c r="F194" s="121">
        <v>0</v>
      </c>
      <c r="G194" s="122">
        <f t="shared" si="2"/>
        <v>164551</v>
      </c>
    </row>
    <row r="195" spans="1:7" ht="15" customHeight="1">
      <c r="A195" s="118" t="s">
        <v>382</v>
      </c>
      <c r="B195" s="119">
        <v>4117</v>
      </c>
      <c r="C195" s="120" t="s">
        <v>387</v>
      </c>
      <c r="D195" s="121">
        <v>33658</v>
      </c>
      <c r="E195" s="122">
        <v>2151</v>
      </c>
      <c r="F195" s="121">
        <v>0</v>
      </c>
      <c r="G195" s="122">
        <f t="shared" si="2"/>
        <v>35809</v>
      </c>
    </row>
    <row r="196" spans="1:7" ht="15" customHeight="1">
      <c r="A196" s="118" t="s">
        <v>382</v>
      </c>
      <c r="B196" s="119">
        <v>4127</v>
      </c>
      <c r="C196" s="120" t="s">
        <v>388</v>
      </c>
      <c r="D196" s="121">
        <v>4613</v>
      </c>
      <c r="E196" s="122">
        <v>306</v>
      </c>
      <c r="F196" s="121">
        <v>0</v>
      </c>
      <c r="G196" s="122">
        <f t="shared" si="2"/>
        <v>4919</v>
      </c>
    </row>
    <row r="197" spans="1:7" ht="15" customHeight="1">
      <c r="A197" s="118" t="s">
        <v>382</v>
      </c>
      <c r="B197" s="119">
        <v>4177</v>
      </c>
      <c r="C197" s="120" t="s">
        <v>389</v>
      </c>
      <c r="D197" s="121">
        <v>44367</v>
      </c>
      <c r="E197" s="122">
        <v>1000</v>
      </c>
      <c r="F197" s="121">
        <v>0</v>
      </c>
      <c r="G197" s="122">
        <f t="shared" si="2"/>
        <v>45367</v>
      </c>
    </row>
    <row r="198" spans="1:7" ht="15" customHeight="1">
      <c r="A198" s="118" t="s">
        <v>382</v>
      </c>
      <c r="B198" s="119">
        <v>4217</v>
      </c>
      <c r="C198" s="120" t="s">
        <v>390</v>
      </c>
      <c r="D198" s="121">
        <v>3400</v>
      </c>
      <c r="E198" s="122">
        <v>1544</v>
      </c>
      <c r="F198" s="121">
        <v>0</v>
      </c>
      <c r="G198" s="122">
        <f t="shared" si="2"/>
        <v>4944</v>
      </c>
    </row>
    <row r="199" spans="1:7" ht="15" customHeight="1">
      <c r="A199" s="118" t="s">
        <v>382</v>
      </c>
      <c r="B199" s="119">
        <v>4270</v>
      </c>
      <c r="C199" s="120" t="s">
        <v>400</v>
      </c>
      <c r="D199" s="121">
        <v>0</v>
      </c>
      <c r="E199" s="122">
        <v>118651</v>
      </c>
      <c r="F199" s="121">
        <v>0</v>
      </c>
      <c r="G199" s="122">
        <f t="shared" si="2"/>
        <v>118651</v>
      </c>
    </row>
    <row r="200" spans="1:7" ht="15" customHeight="1">
      <c r="A200" s="118" t="s">
        <v>382</v>
      </c>
      <c r="B200" s="119">
        <v>4307</v>
      </c>
      <c r="C200" s="120" t="s">
        <v>391</v>
      </c>
      <c r="D200" s="121">
        <v>707491</v>
      </c>
      <c r="E200" s="122">
        <v>19179</v>
      </c>
      <c r="F200" s="121">
        <v>0</v>
      </c>
      <c r="G200" s="122">
        <f t="shared" si="2"/>
        <v>726670</v>
      </c>
    </row>
    <row r="201" spans="1:7" s="133" customFormat="1" ht="15" customHeight="1">
      <c r="A201" s="134" t="s">
        <v>34</v>
      </c>
      <c r="B201" s="135" t="s">
        <v>382</v>
      </c>
      <c r="C201" s="136" t="s">
        <v>35</v>
      </c>
      <c r="D201" s="137">
        <v>144060276</v>
      </c>
      <c r="E201" s="138">
        <f>E202+E206+E208</f>
        <v>60566913</v>
      </c>
      <c r="F201" s="138">
        <f>F202+F206+F208</f>
        <v>3203058</v>
      </c>
      <c r="G201" s="138">
        <f t="shared" si="2"/>
        <v>201424131</v>
      </c>
    </row>
    <row r="202" spans="1:7" s="133" customFormat="1" ht="15" customHeight="1">
      <c r="A202" s="128">
        <v>85111</v>
      </c>
      <c r="B202" s="129" t="s">
        <v>382</v>
      </c>
      <c r="C202" s="130" t="s">
        <v>156</v>
      </c>
      <c r="D202" s="131">
        <v>14153860</v>
      </c>
      <c r="E202" s="132">
        <f>SUM(E203:E205)</f>
        <v>13538815</v>
      </c>
      <c r="F202" s="132">
        <f>SUM(F203:F205)</f>
        <v>0</v>
      </c>
      <c r="G202" s="132">
        <f t="shared" si="2"/>
        <v>27692675</v>
      </c>
    </row>
    <row r="203" spans="1:7" ht="15" customHeight="1">
      <c r="A203" s="118" t="s">
        <v>382</v>
      </c>
      <c r="B203" s="119">
        <v>6058</v>
      </c>
      <c r="C203" s="120" t="s">
        <v>396</v>
      </c>
      <c r="D203" s="121">
        <v>2628073</v>
      </c>
      <c r="E203" s="122">
        <v>123663</v>
      </c>
      <c r="F203" s="121">
        <v>0</v>
      </c>
      <c r="G203" s="122">
        <f t="shared" si="2"/>
        <v>2751736</v>
      </c>
    </row>
    <row r="204" spans="1:7" ht="15" customHeight="1">
      <c r="A204" s="118" t="s">
        <v>382</v>
      </c>
      <c r="B204" s="119">
        <v>6059</v>
      </c>
      <c r="C204" s="120" t="s">
        <v>396</v>
      </c>
      <c r="D204" s="121">
        <v>463778</v>
      </c>
      <c r="E204" s="122">
        <v>21823</v>
      </c>
      <c r="F204" s="121">
        <v>0</v>
      </c>
      <c r="G204" s="122">
        <f t="shared" ref="G204:G267" si="3">D204+E204-F204</f>
        <v>485601</v>
      </c>
    </row>
    <row r="205" spans="1:7" ht="67.900000000000006" customHeight="1">
      <c r="A205" s="118" t="s">
        <v>382</v>
      </c>
      <c r="B205" s="119">
        <v>6209</v>
      </c>
      <c r="C205" s="120" t="s">
        <v>410</v>
      </c>
      <c r="D205" s="121">
        <v>9100847</v>
      </c>
      <c r="E205" s="122">
        <v>13393329</v>
      </c>
      <c r="F205" s="121">
        <v>0</v>
      </c>
      <c r="G205" s="122">
        <f t="shared" si="3"/>
        <v>22494176</v>
      </c>
    </row>
    <row r="206" spans="1:7" s="133" customFormat="1" ht="15" customHeight="1">
      <c r="A206" s="128">
        <v>85119</v>
      </c>
      <c r="B206" s="129" t="s">
        <v>382</v>
      </c>
      <c r="C206" s="130" t="s">
        <v>209</v>
      </c>
      <c r="D206" s="131">
        <v>1313000</v>
      </c>
      <c r="E206" s="132">
        <f>E207</f>
        <v>1108000</v>
      </c>
      <c r="F206" s="132">
        <f>F207</f>
        <v>0</v>
      </c>
      <c r="G206" s="132">
        <f t="shared" si="3"/>
        <v>2421000</v>
      </c>
    </row>
    <row r="207" spans="1:7" ht="15" customHeight="1">
      <c r="A207" s="118" t="s">
        <v>382</v>
      </c>
      <c r="B207" s="119">
        <v>6010</v>
      </c>
      <c r="C207" s="120" t="s">
        <v>406</v>
      </c>
      <c r="D207" s="121">
        <v>1313000</v>
      </c>
      <c r="E207" s="122">
        <v>1108000</v>
      </c>
      <c r="F207" s="121">
        <v>0</v>
      </c>
      <c r="G207" s="122">
        <f t="shared" si="3"/>
        <v>2421000</v>
      </c>
    </row>
    <row r="208" spans="1:7" s="133" customFormat="1" ht="15" customHeight="1">
      <c r="A208" s="128">
        <v>85195</v>
      </c>
      <c r="B208" s="129" t="s">
        <v>382</v>
      </c>
      <c r="C208" s="130" t="s">
        <v>51</v>
      </c>
      <c r="D208" s="131">
        <v>106824217</v>
      </c>
      <c r="E208" s="132">
        <f>SUM(E209:E244)</f>
        <v>45920098</v>
      </c>
      <c r="F208" s="132">
        <f>SUM(F209:F244)</f>
        <v>3203058</v>
      </c>
      <c r="G208" s="132">
        <f t="shared" si="3"/>
        <v>149541257</v>
      </c>
    </row>
    <row r="209" spans="1:7" ht="66" customHeight="1">
      <c r="A209" s="118" t="s">
        <v>382</v>
      </c>
      <c r="B209" s="119">
        <v>2007</v>
      </c>
      <c r="C209" s="120" t="s">
        <v>384</v>
      </c>
      <c r="D209" s="121">
        <v>6527910</v>
      </c>
      <c r="E209" s="122">
        <v>5510835</v>
      </c>
      <c r="F209" s="121">
        <v>0</v>
      </c>
      <c r="G209" s="122">
        <f t="shared" si="3"/>
        <v>12038745</v>
      </c>
    </row>
    <row r="210" spans="1:7" ht="65.25" customHeight="1">
      <c r="A210" s="118" t="s">
        <v>382</v>
      </c>
      <c r="B210" s="119">
        <v>2009</v>
      </c>
      <c r="C210" s="120" t="s">
        <v>384</v>
      </c>
      <c r="D210" s="121">
        <v>1373126</v>
      </c>
      <c r="E210" s="122">
        <v>623165</v>
      </c>
      <c r="F210" s="121">
        <v>0</v>
      </c>
      <c r="G210" s="122">
        <f t="shared" si="3"/>
        <v>1996291</v>
      </c>
    </row>
    <row r="211" spans="1:7" ht="15" customHeight="1">
      <c r="A211" s="118" t="s">
        <v>382</v>
      </c>
      <c r="B211" s="119">
        <v>4017</v>
      </c>
      <c r="C211" s="120" t="s">
        <v>386</v>
      </c>
      <c r="D211" s="121">
        <v>651488</v>
      </c>
      <c r="E211" s="122">
        <v>455084</v>
      </c>
      <c r="F211" s="121">
        <v>0</v>
      </c>
      <c r="G211" s="122">
        <f t="shared" si="3"/>
        <v>1106572</v>
      </c>
    </row>
    <row r="212" spans="1:7" ht="15" customHeight="1">
      <c r="A212" s="118" t="s">
        <v>382</v>
      </c>
      <c r="B212" s="119">
        <v>4019</v>
      </c>
      <c r="C212" s="120" t="s">
        <v>386</v>
      </c>
      <c r="D212" s="121">
        <v>98275</v>
      </c>
      <c r="E212" s="122">
        <v>49931</v>
      </c>
      <c r="F212" s="121">
        <v>0</v>
      </c>
      <c r="G212" s="122">
        <f t="shared" si="3"/>
        <v>148206</v>
      </c>
    </row>
    <row r="213" spans="1:7" ht="15" customHeight="1">
      <c r="A213" s="118" t="s">
        <v>382</v>
      </c>
      <c r="B213" s="119">
        <v>4117</v>
      </c>
      <c r="C213" s="120" t="s">
        <v>387</v>
      </c>
      <c r="D213" s="121">
        <v>89344</v>
      </c>
      <c r="E213" s="122">
        <v>135077</v>
      </c>
      <c r="F213" s="121">
        <v>0</v>
      </c>
      <c r="G213" s="122">
        <f t="shared" si="3"/>
        <v>224421</v>
      </c>
    </row>
    <row r="214" spans="1:7" ht="15" customHeight="1">
      <c r="A214" s="118" t="s">
        <v>382</v>
      </c>
      <c r="B214" s="119">
        <v>4119</v>
      </c>
      <c r="C214" s="120" t="s">
        <v>387</v>
      </c>
      <c r="D214" s="121">
        <v>12620</v>
      </c>
      <c r="E214" s="122">
        <v>16680</v>
      </c>
      <c r="F214" s="121">
        <v>0</v>
      </c>
      <c r="G214" s="122">
        <f t="shared" si="3"/>
        <v>29300</v>
      </c>
    </row>
    <row r="215" spans="1:7" ht="15" customHeight="1">
      <c r="A215" s="118" t="s">
        <v>382</v>
      </c>
      <c r="B215" s="119">
        <v>4127</v>
      </c>
      <c r="C215" s="120" t="s">
        <v>388</v>
      </c>
      <c r="D215" s="121">
        <v>15779</v>
      </c>
      <c r="E215" s="122">
        <v>23017</v>
      </c>
      <c r="F215" s="121">
        <v>0</v>
      </c>
      <c r="G215" s="122">
        <f t="shared" si="3"/>
        <v>38796</v>
      </c>
    </row>
    <row r="216" spans="1:7" ht="15" customHeight="1">
      <c r="A216" s="123" t="s">
        <v>382</v>
      </c>
      <c r="B216" s="124">
        <v>4129</v>
      </c>
      <c r="C216" s="125" t="s">
        <v>388</v>
      </c>
      <c r="D216" s="126">
        <v>2255</v>
      </c>
      <c r="E216" s="127">
        <v>2689</v>
      </c>
      <c r="F216" s="126">
        <v>0</v>
      </c>
      <c r="G216" s="127">
        <f t="shared" si="3"/>
        <v>4944</v>
      </c>
    </row>
    <row r="217" spans="1:7" ht="15" customHeight="1">
      <c r="A217" s="461" t="s">
        <v>382</v>
      </c>
      <c r="B217" s="462">
        <v>4177</v>
      </c>
      <c r="C217" s="463" t="s">
        <v>389</v>
      </c>
      <c r="D217" s="464">
        <v>129231</v>
      </c>
      <c r="E217" s="465">
        <v>261585</v>
      </c>
      <c r="F217" s="464">
        <v>0</v>
      </c>
      <c r="G217" s="465">
        <f t="shared" si="3"/>
        <v>390816</v>
      </c>
    </row>
    <row r="218" spans="1:7" ht="15" customHeight="1">
      <c r="A218" s="118" t="s">
        <v>382</v>
      </c>
      <c r="B218" s="119">
        <v>4179</v>
      </c>
      <c r="C218" s="120" t="s">
        <v>389</v>
      </c>
      <c r="D218" s="121">
        <v>14551</v>
      </c>
      <c r="E218" s="122">
        <v>30405</v>
      </c>
      <c r="F218" s="121">
        <v>0</v>
      </c>
      <c r="G218" s="122">
        <f t="shared" si="3"/>
        <v>44956</v>
      </c>
    </row>
    <row r="219" spans="1:7" ht="15" customHeight="1">
      <c r="A219" s="118" t="s">
        <v>382</v>
      </c>
      <c r="B219" s="119">
        <v>4217</v>
      </c>
      <c r="C219" s="120" t="s">
        <v>390</v>
      </c>
      <c r="D219" s="121">
        <v>4733491</v>
      </c>
      <c r="E219" s="122">
        <v>0</v>
      </c>
      <c r="F219" s="121">
        <v>253199</v>
      </c>
      <c r="G219" s="122">
        <f t="shared" si="3"/>
        <v>4480292</v>
      </c>
    </row>
    <row r="220" spans="1:7" ht="15" customHeight="1">
      <c r="A220" s="118" t="s">
        <v>382</v>
      </c>
      <c r="B220" s="119">
        <v>4219</v>
      </c>
      <c r="C220" s="120" t="s">
        <v>390</v>
      </c>
      <c r="D220" s="121">
        <v>553386</v>
      </c>
      <c r="E220" s="122">
        <v>0</v>
      </c>
      <c r="F220" s="121">
        <v>29802</v>
      </c>
      <c r="G220" s="122">
        <f t="shared" si="3"/>
        <v>523584</v>
      </c>
    </row>
    <row r="221" spans="1:7" ht="15" customHeight="1">
      <c r="A221" s="118" t="s">
        <v>382</v>
      </c>
      <c r="B221" s="119">
        <v>4227</v>
      </c>
      <c r="C221" s="120" t="s">
        <v>408</v>
      </c>
      <c r="D221" s="121">
        <v>0</v>
      </c>
      <c r="E221" s="122">
        <v>1350</v>
      </c>
      <c r="F221" s="121">
        <v>0</v>
      </c>
      <c r="G221" s="122">
        <f t="shared" si="3"/>
        <v>1350</v>
      </c>
    </row>
    <row r="222" spans="1:7" ht="15" customHeight="1">
      <c r="A222" s="118" t="s">
        <v>382</v>
      </c>
      <c r="B222" s="119">
        <v>4229</v>
      </c>
      <c r="C222" s="120" t="s">
        <v>408</v>
      </c>
      <c r="D222" s="121">
        <v>0</v>
      </c>
      <c r="E222" s="122">
        <v>150</v>
      </c>
      <c r="F222" s="121">
        <v>0</v>
      </c>
      <c r="G222" s="122">
        <f t="shared" si="3"/>
        <v>150</v>
      </c>
    </row>
    <row r="223" spans="1:7" ht="15" customHeight="1">
      <c r="A223" s="118" t="s">
        <v>382</v>
      </c>
      <c r="B223" s="119">
        <v>4267</v>
      </c>
      <c r="C223" s="120" t="s">
        <v>413</v>
      </c>
      <c r="D223" s="121">
        <v>0</v>
      </c>
      <c r="E223" s="122">
        <v>9900</v>
      </c>
      <c r="F223" s="121">
        <v>0</v>
      </c>
      <c r="G223" s="122">
        <f t="shared" si="3"/>
        <v>9900</v>
      </c>
    </row>
    <row r="224" spans="1:7" ht="15" customHeight="1">
      <c r="A224" s="118" t="s">
        <v>382</v>
      </c>
      <c r="B224" s="119">
        <v>4269</v>
      </c>
      <c r="C224" s="120" t="s">
        <v>413</v>
      </c>
      <c r="D224" s="121">
        <v>0</v>
      </c>
      <c r="E224" s="122">
        <v>1100</v>
      </c>
      <c r="F224" s="121">
        <v>0</v>
      </c>
      <c r="G224" s="122">
        <f t="shared" si="3"/>
        <v>1100</v>
      </c>
    </row>
    <row r="225" spans="1:7" ht="15" customHeight="1">
      <c r="A225" s="118" t="s">
        <v>382</v>
      </c>
      <c r="B225" s="119">
        <v>4277</v>
      </c>
      <c r="C225" s="120" t="s">
        <v>400</v>
      </c>
      <c r="D225" s="121">
        <v>0</v>
      </c>
      <c r="E225" s="122">
        <v>4050</v>
      </c>
      <c r="F225" s="121">
        <v>0</v>
      </c>
      <c r="G225" s="122">
        <f t="shared" si="3"/>
        <v>4050</v>
      </c>
    </row>
    <row r="226" spans="1:7" ht="15" customHeight="1">
      <c r="A226" s="118" t="s">
        <v>382</v>
      </c>
      <c r="B226" s="119">
        <v>4279</v>
      </c>
      <c r="C226" s="120" t="s">
        <v>400</v>
      </c>
      <c r="D226" s="121">
        <v>0</v>
      </c>
      <c r="E226" s="122">
        <v>450</v>
      </c>
      <c r="F226" s="121">
        <v>0</v>
      </c>
      <c r="G226" s="122">
        <f t="shared" si="3"/>
        <v>450</v>
      </c>
    </row>
    <row r="227" spans="1:7" ht="15" customHeight="1">
      <c r="A227" s="118" t="s">
        <v>382</v>
      </c>
      <c r="B227" s="119">
        <v>4287</v>
      </c>
      <c r="C227" s="120" t="s">
        <v>414</v>
      </c>
      <c r="D227" s="121">
        <v>4252934</v>
      </c>
      <c r="E227" s="122">
        <v>0</v>
      </c>
      <c r="F227" s="121">
        <v>1014649</v>
      </c>
      <c r="G227" s="122">
        <f t="shared" si="3"/>
        <v>3238285</v>
      </c>
    </row>
    <row r="228" spans="1:7" ht="15" customHeight="1">
      <c r="A228" s="118" t="s">
        <v>382</v>
      </c>
      <c r="B228" s="119">
        <v>4289</v>
      </c>
      <c r="C228" s="120" t="s">
        <v>414</v>
      </c>
      <c r="D228" s="121">
        <v>500344</v>
      </c>
      <c r="E228" s="122">
        <v>0</v>
      </c>
      <c r="F228" s="121">
        <v>119368</v>
      </c>
      <c r="G228" s="122">
        <f t="shared" si="3"/>
        <v>380976</v>
      </c>
    </row>
    <row r="229" spans="1:7" ht="15" customHeight="1">
      <c r="A229" s="118" t="s">
        <v>382</v>
      </c>
      <c r="B229" s="119">
        <v>4307</v>
      </c>
      <c r="C229" s="120" t="s">
        <v>391</v>
      </c>
      <c r="D229" s="121">
        <v>13584056</v>
      </c>
      <c r="E229" s="122">
        <v>6375290</v>
      </c>
      <c r="F229" s="121">
        <v>0</v>
      </c>
      <c r="G229" s="122">
        <f t="shared" si="3"/>
        <v>19959346</v>
      </c>
    </row>
    <row r="230" spans="1:7" ht="15" customHeight="1">
      <c r="A230" s="118" t="s">
        <v>382</v>
      </c>
      <c r="B230" s="119">
        <v>4309</v>
      </c>
      <c r="C230" s="120" t="s">
        <v>391</v>
      </c>
      <c r="D230" s="121">
        <v>2164152</v>
      </c>
      <c r="E230" s="122">
        <v>853362</v>
      </c>
      <c r="F230" s="121">
        <v>0</v>
      </c>
      <c r="G230" s="122">
        <f t="shared" si="3"/>
        <v>3017514</v>
      </c>
    </row>
    <row r="231" spans="1:7" ht="15" customHeight="1">
      <c r="A231" s="118" t="s">
        <v>382</v>
      </c>
      <c r="B231" s="119">
        <v>4367</v>
      </c>
      <c r="C231" s="120" t="s">
        <v>401</v>
      </c>
      <c r="D231" s="121">
        <v>0</v>
      </c>
      <c r="E231" s="122">
        <v>5400</v>
      </c>
      <c r="F231" s="121">
        <v>0</v>
      </c>
      <c r="G231" s="122">
        <f t="shared" si="3"/>
        <v>5400</v>
      </c>
    </row>
    <row r="232" spans="1:7" ht="15" customHeight="1">
      <c r="A232" s="118" t="s">
        <v>382</v>
      </c>
      <c r="B232" s="119">
        <v>4369</v>
      </c>
      <c r="C232" s="120" t="s">
        <v>401</v>
      </c>
      <c r="D232" s="121">
        <v>0</v>
      </c>
      <c r="E232" s="122">
        <v>600</v>
      </c>
      <c r="F232" s="121">
        <v>0</v>
      </c>
      <c r="G232" s="122">
        <f t="shared" si="3"/>
        <v>600</v>
      </c>
    </row>
    <row r="233" spans="1:7" ht="15" customHeight="1">
      <c r="A233" s="118" t="s">
        <v>382</v>
      </c>
      <c r="B233" s="119">
        <v>4417</v>
      </c>
      <c r="C233" s="120" t="s">
        <v>392</v>
      </c>
      <c r="D233" s="121">
        <v>0</v>
      </c>
      <c r="E233" s="122">
        <v>9000</v>
      </c>
      <c r="F233" s="121">
        <v>0</v>
      </c>
      <c r="G233" s="122">
        <f t="shared" si="3"/>
        <v>9000</v>
      </c>
    </row>
    <row r="234" spans="1:7" ht="15" customHeight="1">
      <c r="A234" s="118" t="s">
        <v>382</v>
      </c>
      <c r="B234" s="119">
        <v>4419</v>
      </c>
      <c r="C234" s="120" t="s">
        <v>392</v>
      </c>
      <c r="D234" s="121">
        <v>0</v>
      </c>
      <c r="E234" s="122">
        <v>1000</v>
      </c>
      <c r="F234" s="121">
        <v>0</v>
      </c>
      <c r="G234" s="122">
        <f t="shared" si="3"/>
        <v>1000</v>
      </c>
    </row>
    <row r="235" spans="1:7" ht="15" customHeight="1">
      <c r="A235" s="118" t="s">
        <v>382</v>
      </c>
      <c r="B235" s="119">
        <v>4447</v>
      </c>
      <c r="C235" s="120" t="s">
        <v>415</v>
      </c>
      <c r="D235" s="121">
        <v>0</v>
      </c>
      <c r="E235" s="122">
        <v>8372</v>
      </c>
      <c r="F235" s="121">
        <v>0</v>
      </c>
      <c r="G235" s="122">
        <f t="shared" si="3"/>
        <v>8372</v>
      </c>
    </row>
    <row r="236" spans="1:7" ht="15" customHeight="1">
      <c r="A236" s="118" t="s">
        <v>382</v>
      </c>
      <c r="B236" s="119">
        <v>4449</v>
      </c>
      <c r="C236" s="120" t="s">
        <v>415</v>
      </c>
      <c r="D236" s="121">
        <v>0</v>
      </c>
      <c r="E236" s="122">
        <v>930</v>
      </c>
      <c r="F236" s="121">
        <v>0</v>
      </c>
      <c r="G236" s="122">
        <f t="shared" si="3"/>
        <v>930</v>
      </c>
    </row>
    <row r="237" spans="1:7" ht="28.15" customHeight="1">
      <c r="A237" s="118" t="s">
        <v>382</v>
      </c>
      <c r="B237" s="119">
        <v>4707</v>
      </c>
      <c r="C237" s="120" t="s">
        <v>409</v>
      </c>
      <c r="D237" s="121">
        <v>0</v>
      </c>
      <c r="E237" s="122">
        <v>9000</v>
      </c>
      <c r="F237" s="121">
        <v>0</v>
      </c>
      <c r="G237" s="122">
        <f t="shared" si="3"/>
        <v>9000</v>
      </c>
    </row>
    <row r="238" spans="1:7" ht="28.15" customHeight="1">
      <c r="A238" s="118" t="s">
        <v>382</v>
      </c>
      <c r="B238" s="119">
        <v>4709</v>
      </c>
      <c r="C238" s="120" t="s">
        <v>409</v>
      </c>
      <c r="D238" s="121">
        <v>0</v>
      </c>
      <c r="E238" s="122">
        <v>1000</v>
      </c>
      <c r="F238" s="121">
        <v>0</v>
      </c>
      <c r="G238" s="122">
        <f t="shared" si="3"/>
        <v>1000</v>
      </c>
    </row>
    <row r="239" spans="1:7" ht="15" customHeight="1">
      <c r="A239" s="118" t="s">
        <v>382</v>
      </c>
      <c r="B239" s="119">
        <v>4717</v>
      </c>
      <c r="C239" s="120" t="s">
        <v>416</v>
      </c>
      <c r="D239" s="121">
        <v>0</v>
      </c>
      <c r="E239" s="122">
        <v>6463</v>
      </c>
      <c r="F239" s="121">
        <v>0</v>
      </c>
      <c r="G239" s="122">
        <f t="shared" si="3"/>
        <v>6463</v>
      </c>
    </row>
    <row r="240" spans="1:7" ht="15" customHeight="1">
      <c r="A240" s="118" t="s">
        <v>382</v>
      </c>
      <c r="B240" s="119">
        <v>4719</v>
      </c>
      <c r="C240" s="120" t="s">
        <v>416</v>
      </c>
      <c r="D240" s="121">
        <v>0</v>
      </c>
      <c r="E240" s="122">
        <v>718</v>
      </c>
      <c r="F240" s="121">
        <v>0</v>
      </c>
      <c r="G240" s="122">
        <f t="shared" si="3"/>
        <v>718</v>
      </c>
    </row>
    <row r="241" spans="1:7" ht="15" customHeight="1">
      <c r="A241" s="118" t="s">
        <v>382</v>
      </c>
      <c r="B241" s="119">
        <v>6067</v>
      </c>
      <c r="C241" s="120" t="s">
        <v>398</v>
      </c>
      <c r="D241" s="121">
        <v>1754805</v>
      </c>
      <c r="E241" s="122">
        <v>0</v>
      </c>
      <c r="F241" s="121">
        <v>1604541</v>
      </c>
      <c r="G241" s="122">
        <f t="shared" si="3"/>
        <v>150264</v>
      </c>
    </row>
    <row r="242" spans="1:7" ht="15" customHeight="1">
      <c r="A242" s="118" t="s">
        <v>382</v>
      </c>
      <c r="B242" s="119">
        <v>6069</v>
      </c>
      <c r="C242" s="120" t="s">
        <v>398</v>
      </c>
      <c r="D242" s="121">
        <v>198195</v>
      </c>
      <c r="E242" s="122">
        <v>0</v>
      </c>
      <c r="F242" s="121">
        <v>181499</v>
      </c>
      <c r="G242" s="122">
        <f t="shared" si="3"/>
        <v>16696</v>
      </c>
    </row>
    <row r="243" spans="1:7" ht="67.900000000000006" customHeight="1">
      <c r="A243" s="118" t="s">
        <v>382</v>
      </c>
      <c r="B243" s="119">
        <v>6207</v>
      </c>
      <c r="C243" s="120" t="s">
        <v>410</v>
      </c>
      <c r="D243" s="121">
        <v>49475046</v>
      </c>
      <c r="E243" s="122">
        <v>28363002</v>
      </c>
      <c r="F243" s="121">
        <v>0</v>
      </c>
      <c r="G243" s="122">
        <f t="shared" si="3"/>
        <v>77838048</v>
      </c>
    </row>
    <row r="244" spans="1:7" ht="67.900000000000006" customHeight="1">
      <c r="A244" s="118" t="s">
        <v>382</v>
      </c>
      <c r="B244" s="119">
        <v>6209</v>
      </c>
      <c r="C244" s="120" t="s">
        <v>410</v>
      </c>
      <c r="D244" s="121">
        <v>5497229</v>
      </c>
      <c r="E244" s="122">
        <v>3160493</v>
      </c>
      <c r="F244" s="121">
        <v>0</v>
      </c>
      <c r="G244" s="122">
        <f t="shared" si="3"/>
        <v>8657722</v>
      </c>
    </row>
    <row r="245" spans="1:7" s="133" customFormat="1" ht="15" customHeight="1">
      <c r="A245" s="134" t="s">
        <v>258</v>
      </c>
      <c r="B245" s="135" t="s">
        <v>382</v>
      </c>
      <c r="C245" s="136" t="s">
        <v>36</v>
      </c>
      <c r="D245" s="137">
        <v>35306347</v>
      </c>
      <c r="E245" s="138">
        <f>E246</f>
        <v>6647247</v>
      </c>
      <c r="F245" s="138">
        <f>F246</f>
        <v>0</v>
      </c>
      <c r="G245" s="138">
        <f t="shared" si="3"/>
        <v>41953594</v>
      </c>
    </row>
    <row r="246" spans="1:7" s="133" customFormat="1" ht="15" customHeight="1">
      <c r="A246" s="128">
        <v>85295</v>
      </c>
      <c r="B246" s="129" t="s">
        <v>382</v>
      </c>
      <c r="C246" s="130" t="s">
        <v>51</v>
      </c>
      <c r="D246" s="131">
        <v>29791549</v>
      </c>
      <c r="E246" s="132">
        <f>SUM(E247:E269)</f>
        <v>6647247</v>
      </c>
      <c r="F246" s="132">
        <f>SUM(F247:F269)</f>
        <v>0</v>
      </c>
      <c r="G246" s="132">
        <f t="shared" si="3"/>
        <v>36438796</v>
      </c>
    </row>
    <row r="247" spans="1:7" ht="67.900000000000006" customHeight="1">
      <c r="A247" s="118" t="s">
        <v>382</v>
      </c>
      <c r="B247" s="119">
        <v>2007</v>
      </c>
      <c r="C247" s="120" t="s">
        <v>384</v>
      </c>
      <c r="D247" s="121">
        <v>3816549</v>
      </c>
      <c r="E247" s="122">
        <v>800973</v>
      </c>
      <c r="F247" s="121">
        <v>0</v>
      </c>
      <c r="G247" s="122">
        <f t="shared" si="3"/>
        <v>4617522</v>
      </c>
    </row>
    <row r="248" spans="1:7" ht="67.900000000000006" customHeight="1">
      <c r="A248" s="118" t="s">
        <v>382</v>
      </c>
      <c r="B248" s="119">
        <v>2009</v>
      </c>
      <c r="C248" s="120" t="s">
        <v>384</v>
      </c>
      <c r="D248" s="121">
        <v>2840128</v>
      </c>
      <c r="E248" s="122">
        <v>2978</v>
      </c>
      <c r="F248" s="121">
        <v>0</v>
      </c>
      <c r="G248" s="122">
        <f t="shared" si="3"/>
        <v>2843106</v>
      </c>
    </row>
    <row r="249" spans="1:7" ht="66" customHeight="1">
      <c r="A249" s="118" t="s">
        <v>382</v>
      </c>
      <c r="B249" s="119">
        <v>2057</v>
      </c>
      <c r="C249" s="120" t="s">
        <v>424</v>
      </c>
      <c r="D249" s="121">
        <v>11617231</v>
      </c>
      <c r="E249" s="122">
        <v>2493802</v>
      </c>
      <c r="F249" s="121">
        <v>0</v>
      </c>
      <c r="G249" s="122">
        <f t="shared" si="3"/>
        <v>14111033</v>
      </c>
    </row>
    <row r="250" spans="1:7" ht="66" customHeight="1">
      <c r="A250" s="118" t="s">
        <v>382</v>
      </c>
      <c r="B250" s="119">
        <v>2059</v>
      </c>
      <c r="C250" s="120" t="s">
        <v>424</v>
      </c>
      <c r="D250" s="121">
        <v>2812142</v>
      </c>
      <c r="E250" s="122">
        <v>274182</v>
      </c>
      <c r="F250" s="121">
        <v>0</v>
      </c>
      <c r="G250" s="122">
        <f t="shared" si="3"/>
        <v>3086324</v>
      </c>
    </row>
    <row r="251" spans="1:7" ht="15" customHeight="1">
      <c r="A251" s="118" t="s">
        <v>382</v>
      </c>
      <c r="B251" s="119">
        <v>4017</v>
      </c>
      <c r="C251" s="120" t="s">
        <v>386</v>
      </c>
      <c r="D251" s="121">
        <v>1684260</v>
      </c>
      <c r="E251" s="122">
        <v>317484</v>
      </c>
      <c r="F251" s="121">
        <v>0</v>
      </c>
      <c r="G251" s="122">
        <f t="shared" si="3"/>
        <v>2001744</v>
      </c>
    </row>
    <row r="252" spans="1:7" ht="15" customHeight="1">
      <c r="A252" s="118" t="s">
        <v>382</v>
      </c>
      <c r="B252" s="119">
        <v>4019</v>
      </c>
      <c r="C252" s="120" t="s">
        <v>386</v>
      </c>
      <c r="D252" s="121">
        <v>154087</v>
      </c>
      <c r="E252" s="122">
        <v>1253</v>
      </c>
      <c r="F252" s="121">
        <v>0</v>
      </c>
      <c r="G252" s="122">
        <f t="shared" si="3"/>
        <v>155340</v>
      </c>
    </row>
    <row r="253" spans="1:7" ht="15" customHeight="1">
      <c r="A253" s="118" t="s">
        <v>382</v>
      </c>
      <c r="B253" s="119">
        <v>4117</v>
      </c>
      <c r="C253" s="120" t="s">
        <v>387</v>
      </c>
      <c r="D253" s="121">
        <v>317096</v>
      </c>
      <c r="E253" s="122">
        <v>53837</v>
      </c>
      <c r="F253" s="121">
        <v>0</v>
      </c>
      <c r="G253" s="122">
        <f t="shared" si="3"/>
        <v>370933</v>
      </c>
    </row>
    <row r="254" spans="1:7" ht="15" customHeight="1">
      <c r="A254" s="118" t="s">
        <v>382</v>
      </c>
      <c r="B254" s="119">
        <v>4119</v>
      </c>
      <c r="C254" s="120" t="s">
        <v>387</v>
      </c>
      <c r="D254" s="121">
        <v>29030</v>
      </c>
      <c r="E254" s="122">
        <v>216</v>
      </c>
      <c r="F254" s="121">
        <v>0</v>
      </c>
      <c r="G254" s="122">
        <f t="shared" si="3"/>
        <v>29246</v>
      </c>
    </row>
    <row r="255" spans="1:7" ht="15" customHeight="1">
      <c r="A255" s="118" t="s">
        <v>382</v>
      </c>
      <c r="B255" s="119">
        <v>4127</v>
      </c>
      <c r="C255" s="120" t="s">
        <v>388</v>
      </c>
      <c r="D255" s="121">
        <v>45217</v>
      </c>
      <c r="E255" s="122">
        <v>7672</v>
      </c>
      <c r="F255" s="121">
        <v>0</v>
      </c>
      <c r="G255" s="122">
        <f t="shared" si="3"/>
        <v>52889</v>
      </c>
    </row>
    <row r="256" spans="1:7" ht="15" customHeight="1">
      <c r="A256" s="118" t="s">
        <v>382</v>
      </c>
      <c r="B256" s="119">
        <v>4129</v>
      </c>
      <c r="C256" s="120" t="s">
        <v>388</v>
      </c>
      <c r="D256" s="121">
        <v>4142</v>
      </c>
      <c r="E256" s="122">
        <v>31</v>
      </c>
      <c r="F256" s="121">
        <v>0</v>
      </c>
      <c r="G256" s="122">
        <f t="shared" si="3"/>
        <v>4173</v>
      </c>
    </row>
    <row r="257" spans="1:7" ht="15" customHeight="1">
      <c r="A257" s="118" t="s">
        <v>382</v>
      </c>
      <c r="B257" s="119">
        <v>4177</v>
      </c>
      <c r="C257" s="120" t="s">
        <v>389</v>
      </c>
      <c r="D257" s="121">
        <v>308621</v>
      </c>
      <c r="E257" s="122">
        <v>377063</v>
      </c>
      <c r="F257" s="121">
        <v>0</v>
      </c>
      <c r="G257" s="122">
        <f t="shared" si="3"/>
        <v>685684</v>
      </c>
    </row>
    <row r="258" spans="1:7" ht="15" customHeight="1">
      <c r="A258" s="123" t="s">
        <v>382</v>
      </c>
      <c r="B258" s="124">
        <v>4179</v>
      </c>
      <c r="C258" s="125" t="s">
        <v>389</v>
      </c>
      <c r="D258" s="126">
        <v>38579</v>
      </c>
      <c r="E258" s="127">
        <v>44324</v>
      </c>
      <c r="F258" s="126">
        <v>0</v>
      </c>
      <c r="G258" s="127">
        <f t="shared" si="3"/>
        <v>82903</v>
      </c>
    </row>
    <row r="259" spans="1:7" ht="15" customHeight="1">
      <c r="A259" s="461" t="s">
        <v>382</v>
      </c>
      <c r="B259" s="462">
        <v>4217</v>
      </c>
      <c r="C259" s="463" t="s">
        <v>390</v>
      </c>
      <c r="D259" s="464">
        <v>600583</v>
      </c>
      <c r="E259" s="465">
        <v>43841</v>
      </c>
      <c r="F259" s="464">
        <v>0</v>
      </c>
      <c r="G259" s="465">
        <f t="shared" si="3"/>
        <v>644424</v>
      </c>
    </row>
    <row r="260" spans="1:7" ht="15" customHeight="1">
      <c r="A260" s="118" t="s">
        <v>382</v>
      </c>
      <c r="B260" s="119">
        <v>4219</v>
      </c>
      <c r="C260" s="120" t="s">
        <v>390</v>
      </c>
      <c r="D260" s="121">
        <v>96057</v>
      </c>
      <c r="E260" s="122">
        <v>3158</v>
      </c>
      <c r="F260" s="121">
        <v>0</v>
      </c>
      <c r="G260" s="122">
        <f t="shared" si="3"/>
        <v>99215</v>
      </c>
    </row>
    <row r="261" spans="1:7" ht="15" customHeight="1">
      <c r="A261" s="118" t="s">
        <v>382</v>
      </c>
      <c r="B261" s="119">
        <v>4227</v>
      </c>
      <c r="C261" s="120" t="s">
        <v>408</v>
      </c>
      <c r="D261" s="121">
        <v>7718</v>
      </c>
      <c r="E261" s="122">
        <v>5000</v>
      </c>
      <c r="F261" s="121">
        <v>0</v>
      </c>
      <c r="G261" s="122">
        <f t="shared" si="3"/>
        <v>12718</v>
      </c>
    </row>
    <row r="262" spans="1:7" ht="15" customHeight="1">
      <c r="A262" s="118" t="s">
        <v>382</v>
      </c>
      <c r="B262" s="119">
        <v>4267</v>
      </c>
      <c r="C262" s="120" t="s">
        <v>413</v>
      </c>
      <c r="D262" s="121">
        <v>19522</v>
      </c>
      <c r="E262" s="122">
        <v>2000</v>
      </c>
      <c r="F262" s="121">
        <v>0</v>
      </c>
      <c r="G262" s="122">
        <f t="shared" si="3"/>
        <v>21522</v>
      </c>
    </row>
    <row r="263" spans="1:7" ht="15" customHeight="1">
      <c r="A263" s="118" t="s">
        <v>382</v>
      </c>
      <c r="B263" s="119">
        <v>4287</v>
      </c>
      <c r="C263" s="120" t="s">
        <v>414</v>
      </c>
      <c r="D263" s="121">
        <v>1100</v>
      </c>
      <c r="E263" s="122">
        <v>6500</v>
      </c>
      <c r="F263" s="121">
        <v>0</v>
      </c>
      <c r="G263" s="122">
        <f t="shared" si="3"/>
        <v>7600</v>
      </c>
    </row>
    <row r="264" spans="1:7" ht="15" customHeight="1">
      <c r="A264" s="118" t="s">
        <v>382</v>
      </c>
      <c r="B264" s="119">
        <v>4307</v>
      </c>
      <c r="C264" s="120" t="s">
        <v>391</v>
      </c>
      <c r="D264" s="121">
        <v>4122683</v>
      </c>
      <c r="E264" s="122">
        <v>2009612</v>
      </c>
      <c r="F264" s="121">
        <v>0</v>
      </c>
      <c r="G264" s="122">
        <f t="shared" si="3"/>
        <v>6132295</v>
      </c>
    </row>
    <row r="265" spans="1:7" ht="15" customHeight="1">
      <c r="A265" s="118" t="s">
        <v>382</v>
      </c>
      <c r="B265" s="119">
        <v>4309</v>
      </c>
      <c r="C265" s="120" t="s">
        <v>391</v>
      </c>
      <c r="D265" s="121">
        <v>220872</v>
      </c>
      <c r="E265" s="122">
        <v>90105</v>
      </c>
      <c r="F265" s="121">
        <v>0</v>
      </c>
      <c r="G265" s="122">
        <f t="shared" si="3"/>
        <v>310977</v>
      </c>
    </row>
    <row r="266" spans="1:7" ht="15" customHeight="1">
      <c r="A266" s="118" t="s">
        <v>382</v>
      </c>
      <c r="B266" s="119">
        <v>4367</v>
      </c>
      <c r="C266" s="120" t="s">
        <v>401</v>
      </c>
      <c r="D266" s="121">
        <v>4962</v>
      </c>
      <c r="E266" s="122">
        <v>600</v>
      </c>
      <c r="F266" s="121">
        <v>0</v>
      </c>
      <c r="G266" s="122">
        <f t="shared" si="3"/>
        <v>5562</v>
      </c>
    </row>
    <row r="267" spans="1:7" ht="15" customHeight="1">
      <c r="A267" s="118" t="s">
        <v>382</v>
      </c>
      <c r="B267" s="119">
        <v>4417</v>
      </c>
      <c r="C267" s="120" t="s">
        <v>392</v>
      </c>
      <c r="D267" s="121">
        <v>33528</v>
      </c>
      <c r="E267" s="122">
        <v>3830</v>
      </c>
      <c r="F267" s="121">
        <v>0</v>
      </c>
      <c r="G267" s="122">
        <f t="shared" si="3"/>
        <v>37358</v>
      </c>
    </row>
    <row r="268" spans="1:7" ht="15" customHeight="1">
      <c r="A268" s="118" t="s">
        <v>382</v>
      </c>
      <c r="B268" s="119">
        <v>4447</v>
      </c>
      <c r="C268" s="120" t="s">
        <v>415</v>
      </c>
      <c r="D268" s="121">
        <v>33181</v>
      </c>
      <c r="E268" s="122">
        <v>5425</v>
      </c>
      <c r="F268" s="121">
        <v>0</v>
      </c>
      <c r="G268" s="122">
        <f t="shared" ref="G268:G331" si="4">D268+E268-F268</f>
        <v>38606</v>
      </c>
    </row>
    <row r="269" spans="1:7" ht="67.900000000000006" customHeight="1">
      <c r="A269" s="118" t="s">
        <v>382</v>
      </c>
      <c r="B269" s="119">
        <v>6209</v>
      </c>
      <c r="C269" s="120" t="s">
        <v>410</v>
      </c>
      <c r="D269" s="121">
        <v>60105</v>
      </c>
      <c r="E269" s="122">
        <v>103361</v>
      </c>
      <c r="F269" s="121">
        <v>0</v>
      </c>
      <c r="G269" s="122">
        <f t="shared" si="4"/>
        <v>163466</v>
      </c>
    </row>
    <row r="270" spans="1:7" s="133" customFormat="1" ht="28.15" customHeight="1">
      <c r="A270" s="134" t="s">
        <v>417</v>
      </c>
      <c r="B270" s="135" t="s">
        <v>382</v>
      </c>
      <c r="C270" s="136" t="s">
        <v>37</v>
      </c>
      <c r="D270" s="137">
        <v>26572058</v>
      </c>
      <c r="E270" s="138">
        <f>E271+E273+E298</f>
        <v>4805918</v>
      </c>
      <c r="F270" s="138">
        <f>F271+F273+F298</f>
        <v>22681</v>
      </c>
      <c r="G270" s="138">
        <f t="shared" si="4"/>
        <v>31355295</v>
      </c>
    </row>
    <row r="271" spans="1:7" s="133" customFormat="1" ht="28.15" customHeight="1">
      <c r="A271" s="128">
        <v>85324</v>
      </c>
      <c r="B271" s="129" t="s">
        <v>382</v>
      </c>
      <c r="C271" s="130" t="s">
        <v>166</v>
      </c>
      <c r="D271" s="131">
        <v>375000</v>
      </c>
      <c r="E271" s="132">
        <f>E272</f>
        <v>10807</v>
      </c>
      <c r="F271" s="132">
        <f>F272</f>
        <v>0</v>
      </c>
      <c r="G271" s="132">
        <f t="shared" si="4"/>
        <v>385807</v>
      </c>
    </row>
    <row r="272" spans="1:7" ht="15" customHeight="1">
      <c r="A272" s="118" t="s">
        <v>382</v>
      </c>
      <c r="B272" s="119">
        <v>4010</v>
      </c>
      <c r="C272" s="120" t="s">
        <v>386</v>
      </c>
      <c r="D272" s="121">
        <v>237360</v>
      </c>
      <c r="E272" s="122">
        <v>10807</v>
      </c>
      <c r="F272" s="121">
        <v>0</v>
      </c>
      <c r="G272" s="122">
        <f t="shared" si="4"/>
        <v>248167</v>
      </c>
    </row>
    <row r="273" spans="1:7" s="133" customFormat="1" ht="15" customHeight="1">
      <c r="A273" s="128">
        <v>85332</v>
      </c>
      <c r="B273" s="129" t="s">
        <v>382</v>
      </c>
      <c r="C273" s="130" t="s">
        <v>61</v>
      </c>
      <c r="D273" s="131">
        <v>17720052</v>
      </c>
      <c r="E273" s="132">
        <f>SUM(E274:E297)</f>
        <v>326095</v>
      </c>
      <c r="F273" s="132">
        <f>SUM(F274:F297)</f>
        <v>22681</v>
      </c>
      <c r="G273" s="132">
        <f t="shared" si="4"/>
        <v>18023466</v>
      </c>
    </row>
    <row r="274" spans="1:7" ht="15" customHeight="1">
      <c r="A274" s="118" t="s">
        <v>382</v>
      </c>
      <c r="B274" s="119">
        <v>4017</v>
      </c>
      <c r="C274" s="120" t="s">
        <v>386</v>
      </c>
      <c r="D274" s="121">
        <v>2604</v>
      </c>
      <c r="E274" s="122">
        <v>31036</v>
      </c>
      <c r="F274" s="121">
        <v>0</v>
      </c>
      <c r="G274" s="122">
        <f t="shared" si="4"/>
        <v>33640</v>
      </c>
    </row>
    <row r="275" spans="1:7" ht="15" customHeight="1">
      <c r="A275" s="118" t="s">
        <v>382</v>
      </c>
      <c r="B275" s="119">
        <v>4018</v>
      </c>
      <c r="C275" s="120" t="s">
        <v>386</v>
      </c>
      <c r="D275" s="121">
        <v>2859086</v>
      </c>
      <c r="E275" s="122">
        <v>119599</v>
      </c>
      <c r="F275" s="121">
        <v>0</v>
      </c>
      <c r="G275" s="122">
        <f t="shared" si="4"/>
        <v>2978685</v>
      </c>
    </row>
    <row r="276" spans="1:7" ht="15" customHeight="1">
      <c r="A276" s="118" t="s">
        <v>382</v>
      </c>
      <c r="B276" s="119">
        <v>4019</v>
      </c>
      <c r="C276" s="120" t="s">
        <v>386</v>
      </c>
      <c r="D276" s="121">
        <v>522741</v>
      </c>
      <c r="E276" s="122">
        <v>24757</v>
      </c>
      <c r="F276" s="121">
        <v>0</v>
      </c>
      <c r="G276" s="122">
        <f t="shared" si="4"/>
        <v>547498</v>
      </c>
    </row>
    <row r="277" spans="1:7" ht="15" customHeight="1">
      <c r="A277" s="118" t="s">
        <v>382</v>
      </c>
      <c r="B277" s="119">
        <v>4047</v>
      </c>
      <c r="C277" s="120" t="s">
        <v>399</v>
      </c>
      <c r="D277" s="121">
        <v>3656</v>
      </c>
      <c r="E277" s="122">
        <v>0</v>
      </c>
      <c r="F277" s="121">
        <v>2640</v>
      </c>
      <c r="G277" s="122">
        <f t="shared" si="4"/>
        <v>1016</v>
      </c>
    </row>
    <row r="278" spans="1:7" ht="15" customHeight="1">
      <c r="A278" s="118" t="s">
        <v>382</v>
      </c>
      <c r="B278" s="119">
        <v>4048</v>
      </c>
      <c r="C278" s="120" t="s">
        <v>399</v>
      </c>
      <c r="D278" s="121">
        <v>242312</v>
      </c>
      <c r="E278" s="122">
        <v>0</v>
      </c>
      <c r="F278" s="121">
        <v>14349</v>
      </c>
      <c r="G278" s="122">
        <f t="shared" si="4"/>
        <v>227963</v>
      </c>
    </row>
    <row r="279" spans="1:7" ht="15" customHeight="1">
      <c r="A279" s="118" t="s">
        <v>382</v>
      </c>
      <c r="B279" s="119">
        <v>4049</v>
      </c>
      <c r="C279" s="120" t="s">
        <v>399</v>
      </c>
      <c r="D279" s="121">
        <v>44699</v>
      </c>
      <c r="E279" s="122">
        <v>0</v>
      </c>
      <c r="F279" s="121">
        <v>2842</v>
      </c>
      <c r="G279" s="122">
        <f t="shared" si="4"/>
        <v>41857</v>
      </c>
    </row>
    <row r="280" spans="1:7" ht="15" customHeight="1">
      <c r="A280" s="118" t="s">
        <v>382</v>
      </c>
      <c r="B280" s="119">
        <v>4117</v>
      </c>
      <c r="C280" s="120" t="s">
        <v>387</v>
      </c>
      <c r="D280" s="121">
        <v>1076</v>
      </c>
      <c r="E280" s="122">
        <v>5335</v>
      </c>
      <c r="F280" s="121">
        <v>0</v>
      </c>
      <c r="G280" s="122">
        <f t="shared" si="4"/>
        <v>6411</v>
      </c>
    </row>
    <row r="281" spans="1:7" ht="15" customHeight="1">
      <c r="A281" s="118" t="s">
        <v>382</v>
      </c>
      <c r="B281" s="119">
        <v>4118</v>
      </c>
      <c r="C281" s="120" t="s">
        <v>387</v>
      </c>
      <c r="D281" s="121">
        <v>533131</v>
      </c>
      <c r="E281" s="122">
        <v>18092</v>
      </c>
      <c r="F281" s="121">
        <v>0</v>
      </c>
      <c r="G281" s="122">
        <f t="shared" si="4"/>
        <v>551223</v>
      </c>
    </row>
    <row r="282" spans="1:7" ht="15" customHeight="1">
      <c r="A282" s="118" t="s">
        <v>382</v>
      </c>
      <c r="B282" s="119">
        <v>4119</v>
      </c>
      <c r="C282" s="120" t="s">
        <v>387</v>
      </c>
      <c r="D282" s="121">
        <v>97542</v>
      </c>
      <c r="E282" s="122">
        <v>3822</v>
      </c>
      <c r="F282" s="121">
        <v>0</v>
      </c>
      <c r="G282" s="122">
        <f t="shared" si="4"/>
        <v>101364</v>
      </c>
    </row>
    <row r="283" spans="1:7" ht="15" customHeight="1">
      <c r="A283" s="118" t="s">
        <v>382</v>
      </c>
      <c r="B283" s="119">
        <v>4127</v>
      </c>
      <c r="C283" s="120" t="s">
        <v>388</v>
      </c>
      <c r="D283" s="121">
        <v>153</v>
      </c>
      <c r="E283" s="122">
        <v>761</v>
      </c>
      <c r="F283" s="121">
        <v>0</v>
      </c>
      <c r="G283" s="122">
        <f t="shared" si="4"/>
        <v>914</v>
      </c>
    </row>
    <row r="284" spans="1:7" ht="15" customHeight="1">
      <c r="A284" s="118" t="s">
        <v>382</v>
      </c>
      <c r="B284" s="119">
        <v>4128</v>
      </c>
      <c r="C284" s="120" t="s">
        <v>388</v>
      </c>
      <c r="D284" s="121">
        <v>75986</v>
      </c>
      <c r="E284" s="122">
        <v>2577</v>
      </c>
      <c r="F284" s="121">
        <v>0</v>
      </c>
      <c r="G284" s="122">
        <f t="shared" si="4"/>
        <v>78563</v>
      </c>
    </row>
    <row r="285" spans="1:7" ht="15" customHeight="1">
      <c r="A285" s="118" t="s">
        <v>382</v>
      </c>
      <c r="B285" s="119">
        <v>4129</v>
      </c>
      <c r="C285" s="120" t="s">
        <v>388</v>
      </c>
      <c r="D285" s="121">
        <v>13902</v>
      </c>
      <c r="E285" s="122">
        <v>545</v>
      </c>
      <c r="F285" s="121">
        <v>0</v>
      </c>
      <c r="G285" s="122">
        <f t="shared" si="4"/>
        <v>14447</v>
      </c>
    </row>
    <row r="286" spans="1:7" ht="15" customHeight="1">
      <c r="A286" s="118" t="s">
        <v>382</v>
      </c>
      <c r="B286" s="119">
        <v>4217</v>
      </c>
      <c r="C286" s="120" t="s">
        <v>390</v>
      </c>
      <c r="D286" s="121">
        <v>1342</v>
      </c>
      <c r="E286" s="122">
        <v>447</v>
      </c>
      <c r="F286" s="121">
        <v>0</v>
      </c>
      <c r="G286" s="122">
        <f t="shared" si="4"/>
        <v>1789</v>
      </c>
    </row>
    <row r="287" spans="1:7" ht="15" customHeight="1">
      <c r="A287" s="118" t="s">
        <v>382</v>
      </c>
      <c r="B287" s="119">
        <v>4218</v>
      </c>
      <c r="C287" s="120" t="s">
        <v>390</v>
      </c>
      <c r="D287" s="121">
        <v>42283</v>
      </c>
      <c r="E287" s="122">
        <v>5100</v>
      </c>
      <c r="F287" s="121">
        <v>0</v>
      </c>
      <c r="G287" s="122">
        <f t="shared" si="4"/>
        <v>47383</v>
      </c>
    </row>
    <row r="288" spans="1:7" ht="15" customHeight="1">
      <c r="A288" s="118" t="s">
        <v>382</v>
      </c>
      <c r="B288" s="119">
        <v>4219</v>
      </c>
      <c r="C288" s="120" t="s">
        <v>390</v>
      </c>
      <c r="D288" s="121">
        <v>7887</v>
      </c>
      <c r="E288" s="122">
        <v>953</v>
      </c>
      <c r="F288" s="121">
        <v>0</v>
      </c>
      <c r="G288" s="122">
        <f t="shared" si="4"/>
        <v>8840</v>
      </c>
    </row>
    <row r="289" spans="1:7" ht="15" customHeight="1">
      <c r="A289" s="118" t="s">
        <v>382</v>
      </c>
      <c r="B289" s="119">
        <v>4278</v>
      </c>
      <c r="C289" s="120" t="s">
        <v>400</v>
      </c>
      <c r="D289" s="121">
        <v>6771</v>
      </c>
      <c r="E289" s="122">
        <v>0</v>
      </c>
      <c r="F289" s="121">
        <v>1700</v>
      </c>
      <c r="G289" s="122">
        <f t="shared" si="4"/>
        <v>5071</v>
      </c>
    </row>
    <row r="290" spans="1:7" ht="15" customHeight="1">
      <c r="A290" s="118" t="s">
        <v>382</v>
      </c>
      <c r="B290" s="119">
        <v>4279</v>
      </c>
      <c r="C290" s="120" t="s">
        <v>400</v>
      </c>
      <c r="D290" s="121">
        <v>1229</v>
      </c>
      <c r="E290" s="122">
        <v>0</v>
      </c>
      <c r="F290" s="121">
        <v>300</v>
      </c>
      <c r="G290" s="122">
        <f t="shared" si="4"/>
        <v>929</v>
      </c>
    </row>
    <row r="291" spans="1:7" ht="15" customHeight="1">
      <c r="A291" s="118" t="s">
        <v>382</v>
      </c>
      <c r="B291" s="119">
        <v>4307</v>
      </c>
      <c r="C291" s="120" t="s">
        <v>391</v>
      </c>
      <c r="D291" s="121">
        <v>28089</v>
      </c>
      <c r="E291" s="122">
        <v>99182</v>
      </c>
      <c r="F291" s="121">
        <v>0</v>
      </c>
      <c r="G291" s="122">
        <f t="shared" si="4"/>
        <v>127271</v>
      </c>
    </row>
    <row r="292" spans="1:7" ht="15" customHeight="1">
      <c r="A292" s="118" t="s">
        <v>382</v>
      </c>
      <c r="B292" s="119">
        <v>4308</v>
      </c>
      <c r="C292" s="120" t="s">
        <v>391</v>
      </c>
      <c r="D292" s="121">
        <v>271885</v>
      </c>
      <c r="E292" s="122">
        <v>0</v>
      </c>
      <c r="F292" s="121">
        <v>850</v>
      </c>
      <c r="G292" s="122">
        <f t="shared" si="4"/>
        <v>271035</v>
      </c>
    </row>
    <row r="293" spans="1:7" ht="15" customHeight="1">
      <c r="A293" s="118" t="s">
        <v>382</v>
      </c>
      <c r="B293" s="119">
        <v>4309</v>
      </c>
      <c r="C293" s="120" t="s">
        <v>391</v>
      </c>
      <c r="D293" s="121">
        <v>52658</v>
      </c>
      <c r="E293" s="122">
        <v>11517</v>
      </c>
      <c r="F293" s="121">
        <v>0</v>
      </c>
      <c r="G293" s="122">
        <f t="shared" si="4"/>
        <v>64175</v>
      </c>
    </row>
    <row r="294" spans="1:7" ht="15" customHeight="1">
      <c r="A294" s="118" t="s">
        <v>382</v>
      </c>
      <c r="B294" s="119">
        <v>4417</v>
      </c>
      <c r="C294" s="120" t="s">
        <v>392</v>
      </c>
      <c r="D294" s="121">
        <v>0</v>
      </c>
      <c r="E294" s="122">
        <v>461</v>
      </c>
      <c r="F294" s="121">
        <v>0</v>
      </c>
      <c r="G294" s="122">
        <f t="shared" si="4"/>
        <v>461</v>
      </c>
    </row>
    <row r="295" spans="1:7" ht="15" customHeight="1">
      <c r="A295" s="118" t="s">
        <v>382</v>
      </c>
      <c r="B295" s="119">
        <v>4419</v>
      </c>
      <c r="C295" s="120" t="s">
        <v>392</v>
      </c>
      <c r="D295" s="121">
        <v>1154</v>
      </c>
      <c r="E295" s="122">
        <v>54</v>
      </c>
      <c r="F295" s="121">
        <v>0</v>
      </c>
      <c r="G295" s="122">
        <f t="shared" si="4"/>
        <v>1208</v>
      </c>
    </row>
    <row r="296" spans="1:7" ht="15" customHeight="1">
      <c r="A296" s="118" t="s">
        <v>382</v>
      </c>
      <c r="B296" s="119">
        <v>4718</v>
      </c>
      <c r="C296" s="120" t="s">
        <v>416</v>
      </c>
      <c r="D296" s="121">
        <v>46522</v>
      </c>
      <c r="E296" s="122">
        <v>1578</v>
      </c>
      <c r="F296" s="121">
        <v>0</v>
      </c>
      <c r="G296" s="122">
        <f t="shared" si="4"/>
        <v>48100</v>
      </c>
    </row>
    <row r="297" spans="1:7" ht="15" customHeight="1">
      <c r="A297" s="118" t="s">
        <v>382</v>
      </c>
      <c r="B297" s="119">
        <v>4719</v>
      </c>
      <c r="C297" s="120" t="s">
        <v>416</v>
      </c>
      <c r="D297" s="121">
        <v>8511</v>
      </c>
      <c r="E297" s="122">
        <v>279</v>
      </c>
      <c r="F297" s="121">
        <v>0</v>
      </c>
      <c r="G297" s="122">
        <f t="shared" si="4"/>
        <v>8790</v>
      </c>
    </row>
    <row r="298" spans="1:7" s="133" customFormat="1" ht="15" customHeight="1">
      <c r="A298" s="128">
        <v>85395</v>
      </c>
      <c r="B298" s="129" t="s">
        <v>382</v>
      </c>
      <c r="C298" s="130" t="s">
        <v>51</v>
      </c>
      <c r="D298" s="131">
        <v>5812706</v>
      </c>
      <c r="E298" s="132">
        <f>SUM(E299:E312)</f>
        <v>4469016</v>
      </c>
      <c r="F298" s="132">
        <f>SUM(F299:F312)</f>
        <v>0</v>
      </c>
      <c r="G298" s="132">
        <f t="shared" si="4"/>
        <v>10281722</v>
      </c>
    </row>
    <row r="299" spans="1:7" ht="67.900000000000006" customHeight="1">
      <c r="A299" s="118" t="s">
        <v>382</v>
      </c>
      <c r="B299" s="119">
        <v>2007</v>
      </c>
      <c r="C299" s="120" t="s">
        <v>384</v>
      </c>
      <c r="D299" s="121">
        <v>385632</v>
      </c>
      <c r="E299" s="122">
        <v>2427670</v>
      </c>
      <c r="F299" s="121">
        <v>0</v>
      </c>
      <c r="G299" s="122">
        <f t="shared" si="4"/>
        <v>2813302</v>
      </c>
    </row>
    <row r="300" spans="1:7" ht="67.900000000000006" customHeight="1">
      <c r="A300" s="118" t="s">
        <v>382</v>
      </c>
      <c r="B300" s="119">
        <v>2009</v>
      </c>
      <c r="C300" s="120" t="s">
        <v>384</v>
      </c>
      <c r="D300" s="121">
        <v>1340388</v>
      </c>
      <c r="E300" s="122">
        <v>285609</v>
      </c>
      <c r="F300" s="121">
        <v>0</v>
      </c>
      <c r="G300" s="122">
        <f t="shared" si="4"/>
        <v>1625997</v>
      </c>
    </row>
    <row r="301" spans="1:7" ht="67.900000000000006" customHeight="1">
      <c r="A301" s="118" t="s">
        <v>382</v>
      </c>
      <c r="B301" s="119">
        <v>2057</v>
      </c>
      <c r="C301" s="120" t="s">
        <v>424</v>
      </c>
      <c r="D301" s="121">
        <v>2691368</v>
      </c>
      <c r="E301" s="122">
        <v>1143171</v>
      </c>
      <c r="F301" s="121">
        <v>0</v>
      </c>
      <c r="G301" s="122">
        <f t="shared" si="4"/>
        <v>3834539</v>
      </c>
    </row>
    <row r="302" spans="1:7" ht="67.900000000000006" customHeight="1">
      <c r="A302" s="118" t="s">
        <v>382</v>
      </c>
      <c r="B302" s="119">
        <v>2059</v>
      </c>
      <c r="C302" s="120" t="s">
        <v>424</v>
      </c>
      <c r="D302" s="121">
        <v>321612</v>
      </c>
      <c r="E302" s="122">
        <v>134491</v>
      </c>
      <c r="F302" s="121">
        <v>0</v>
      </c>
      <c r="G302" s="122">
        <f t="shared" si="4"/>
        <v>456103</v>
      </c>
    </row>
    <row r="303" spans="1:7" ht="15" customHeight="1">
      <c r="A303" s="123" t="s">
        <v>382</v>
      </c>
      <c r="B303" s="124">
        <v>4117</v>
      </c>
      <c r="C303" s="125" t="s">
        <v>387</v>
      </c>
      <c r="D303" s="126">
        <v>55660</v>
      </c>
      <c r="E303" s="127">
        <v>3060</v>
      </c>
      <c r="F303" s="126">
        <v>0</v>
      </c>
      <c r="G303" s="127">
        <f t="shared" si="4"/>
        <v>58720</v>
      </c>
    </row>
    <row r="304" spans="1:7" ht="15" customHeight="1">
      <c r="A304" s="461" t="s">
        <v>382</v>
      </c>
      <c r="B304" s="462">
        <v>4119</v>
      </c>
      <c r="C304" s="463" t="s">
        <v>387</v>
      </c>
      <c r="D304" s="464">
        <v>6548</v>
      </c>
      <c r="E304" s="465">
        <v>360</v>
      </c>
      <c r="F304" s="464">
        <v>0</v>
      </c>
      <c r="G304" s="465">
        <f t="shared" si="4"/>
        <v>6908</v>
      </c>
    </row>
    <row r="305" spans="1:7" ht="15" customHeight="1">
      <c r="A305" s="118" t="s">
        <v>382</v>
      </c>
      <c r="B305" s="119">
        <v>4127</v>
      </c>
      <c r="C305" s="120" t="s">
        <v>388</v>
      </c>
      <c r="D305" s="121">
        <v>7595</v>
      </c>
      <c r="E305" s="122">
        <v>438</v>
      </c>
      <c r="F305" s="121">
        <v>0</v>
      </c>
      <c r="G305" s="122">
        <f t="shared" si="4"/>
        <v>8033</v>
      </c>
    </row>
    <row r="306" spans="1:7" ht="15" customHeight="1">
      <c r="A306" s="118" t="s">
        <v>382</v>
      </c>
      <c r="B306" s="119">
        <v>4129</v>
      </c>
      <c r="C306" s="120" t="s">
        <v>388</v>
      </c>
      <c r="D306" s="121">
        <v>894</v>
      </c>
      <c r="E306" s="122">
        <v>52</v>
      </c>
      <c r="F306" s="121">
        <v>0</v>
      </c>
      <c r="G306" s="122">
        <f t="shared" si="4"/>
        <v>946</v>
      </c>
    </row>
    <row r="307" spans="1:7" ht="15" customHeight="1">
      <c r="A307" s="118" t="s">
        <v>382</v>
      </c>
      <c r="B307" s="119">
        <v>4177</v>
      </c>
      <c r="C307" s="120" t="s">
        <v>389</v>
      </c>
      <c r="D307" s="121">
        <v>15470</v>
      </c>
      <c r="E307" s="122">
        <v>17895</v>
      </c>
      <c r="F307" s="121">
        <v>0</v>
      </c>
      <c r="G307" s="122">
        <f t="shared" si="4"/>
        <v>33365</v>
      </c>
    </row>
    <row r="308" spans="1:7" ht="15" customHeight="1">
      <c r="A308" s="118" t="s">
        <v>382</v>
      </c>
      <c r="B308" s="119">
        <v>4179</v>
      </c>
      <c r="C308" s="120" t="s">
        <v>389</v>
      </c>
      <c r="D308" s="121">
        <v>1820</v>
      </c>
      <c r="E308" s="122">
        <v>2105</v>
      </c>
      <c r="F308" s="121">
        <v>0</v>
      </c>
      <c r="G308" s="122">
        <f t="shared" si="4"/>
        <v>3925</v>
      </c>
    </row>
    <row r="309" spans="1:7" ht="15" customHeight="1">
      <c r="A309" s="118" t="s">
        <v>382</v>
      </c>
      <c r="B309" s="119">
        <v>4217</v>
      </c>
      <c r="C309" s="120" t="s">
        <v>390</v>
      </c>
      <c r="D309" s="121">
        <v>8948</v>
      </c>
      <c r="E309" s="122">
        <v>89473</v>
      </c>
      <c r="F309" s="121">
        <v>0</v>
      </c>
      <c r="G309" s="122">
        <f t="shared" si="4"/>
        <v>98421</v>
      </c>
    </row>
    <row r="310" spans="1:7" ht="15" customHeight="1">
      <c r="A310" s="118" t="s">
        <v>382</v>
      </c>
      <c r="B310" s="119">
        <v>4219</v>
      </c>
      <c r="C310" s="120" t="s">
        <v>390</v>
      </c>
      <c r="D310" s="121">
        <v>1052</v>
      </c>
      <c r="E310" s="122">
        <v>10527</v>
      </c>
      <c r="F310" s="121">
        <v>0</v>
      </c>
      <c r="G310" s="122">
        <f t="shared" si="4"/>
        <v>11579</v>
      </c>
    </row>
    <row r="311" spans="1:7" ht="15" customHeight="1">
      <c r="A311" s="118" t="s">
        <v>382</v>
      </c>
      <c r="B311" s="119">
        <v>4307</v>
      </c>
      <c r="C311" s="120" t="s">
        <v>391</v>
      </c>
      <c r="D311" s="121">
        <v>283483</v>
      </c>
      <c r="E311" s="122">
        <v>316885</v>
      </c>
      <c r="F311" s="121">
        <v>0</v>
      </c>
      <c r="G311" s="122">
        <f t="shared" si="4"/>
        <v>600368</v>
      </c>
    </row>
    <row r="312" spans="1:7" ht="15" customHeight="1">
      <c r="A312" s="118" t="s">
        <v>382</v>
      </c>
      <c r="B312" s="119">
        <v>4309</v>
      </c>
      <c r="C312" s="120" t="s">
        <v>391</v>
      </c>
      <c r="D312" s="121">
        <v>33350</v>
      </c>
      <c r="E312" s="122">
        <v>37280</v>
      </c>
      <c r="F312" s="121">
        <v>0</v>
      </c>
      <c r="G312" s="122">
        <f t="shared" si="4"/>
        <v>70630</v>
      </c>
    </row>
    <row r="313" spans="1:7" s="133" customFormat="1" ht="15" customHeight="1">
      <c r="A313" s="134" t="s">
        <v>263</v>
      </c>
      <c r="B313" s="135" t="s">
        <v>382</v>
      </c>
      <c r="C313" s="136" t="s">
        <v>264</v>
      </c>
      <c r="D313" s="137">
        <v>50568776</v>
      </c>
      <c r="E313" s="138">
        <f>E314+E332</f>
        <v>322848</v>
      </c>
      <c r="F313" s="138">
        <f>F314+F332</f>
        <v>2076292</v>
      </c>
      <c r="G313" s="138">
        <f t="shared" si="4"/>
        <v>48815332</v>
      </c>
    </row>
    <row r="314" spans="1:7" s="133" customFormat="1" ht="15" customHeight="1">
      <c r="A314" s="128">
        <v>85403</v>
      </c>
      <c r="B314" s="129" t="s">
        <v>382</v>
      </c>
      <c r="C314" s="130" t="s">
        <v>169</v>
      </c>
      <c r="D314" s="131">
        <v>38072852</v>
      </c>
      <c r="E314" s="132">
        <f>SUM(E315:E331)</f>
        <v>312848</v>
      </c>
      <c r="F314" s="132">
        <f>SUM(F315:F331)</f>
        <v>2076292</v>
      </c>
      <c r="G314" s="132">
        <f t="shared" si="4"/>
        <v>36309408</v>
      </c>
    </row>
    <row r="315" spans="1:7" ht="15" customHeight="1">
      <c r="A315" s="118" t="s">
        <v>382</v>
      </c>
      <c r="B315" s="119">
        <v>4017</v>
      </c>
      <c r="C315" s="120" t="s">
        <v>386</v>
      </c>
      <c r="D315" s="121">
        <v>166428</v>
      </c>
      <c r="E315" s="122">
        <v>65075</v>
      </c>
      <c r="F315" s="121">
        <v>0</v>
      </c>
      <c r="G315" s="122">
        <f t="shared" si="4"/>
        <v>231503</v>
      </c>
    </row>
    <row r="316" spans="1:7" ht="15" customHeight="1">
      <c r="A316" s="118" t="s">
        <v>382</v>
      </c>
      <c r="B316" s="119">
        <v>4019</v>
      </c>
      <c r="C316" s="120" t="s">
        <v>386</v>
      </c>
      <c r="D316" s="121">
        <v>52802</v>
      </c>
      <c r="E316" s="122">
        <v>17142</v>
      </c>
      <c r="F316" s="121">
        <v>0</v>
      </c>
      <c r="G316" s="122">
        <f t="shared" si="4"/>
        <v>69944</v>
      </c>
    </row>
    <row r="317" spans="1:7" ht="15" customHeight="1">
      <c r="A317" s="118" t="s">
        <v>382</v>
      </c>
      <c r="B317" s="119">
        <v>4047</v>
      </c>
      <c r="C317" s="120" t="s">
        <v>399</v>
      </c>
      <c r="D317" s="121">
        <v>23833</v>
      </c>
      <c r="E317" s="122">
        <v>0</v>
      </c>
      <c r="F317" s="121">
        <v>4461</v>
      </c>
      <c r="G317" s="122">
        <f t="shared" si="4"/>
        <v>19372</v>
      </c>
    </row>
    <row r="318" spans="1:7" ht="15" customHeight="1">
      <c r="A318" s="118" t="s">
        <v>382</v>
      </c>
      <c r="B318" s="119">
        <v>4049</v>
      </c>
      <c r="C318" s="120" t="s">
        <v>399</v>
      </c>
      <c r="D318" s="121">
        <v>6061</v>
      </c>
      <c r="E318" s="122">
        <v>0</v>
      </c>
      <c r="F318" s="121">
        <v>2642</v>
      </c>
      <c r="G318" s="122">
        <f t="shared" si="4"/>
        <v>3419</v>
      </c>
    </row>
    <row r="319" spans="1:7" ht="15" customHeight="1">
      <c r="A319" s="118" t="s">
        <v>382</v>
      </c>
      <c r="B319" s="119">
        <v>4117</v>
      </c>
      <c r="C319" s="120" t="s">
        <v>387</v>
      </c>
      <c r="D319" s="121">
        <v>32520</v>
      </c>
      <c r="E319" s="122">
        <v>12739</v>
      </c>
      <c r="F319" s="121">
        <v>0</v>
      </c>
      <c r="G319" s="122">
        <f t="shared" si="4"/>
        <v>45259</v>
      </c>
    </row>
    <row r="320" spans="1:7" ht="15" customHeight="1">
      <c r="A320" s="118" t="s">
        <v>382</v>
      </c>
      <c r="B320" s="119">
        <v>4119</v>
      </c>
      <c r="C320" s="120" t="s">
        <v>387</v>
      </c>
      <c r="D320" s="121">
        <v>10007</v>
      </c>
      <c r="E320" s="122">
        <v>3456</v>
      </c>
      <c r="F320" s="121">
        <v>0</v>
      </c>
      <c r="G320" s="122">
        <f t="shared" si="4"/>
        <v>13463</v>
      </c>
    </row>
    <row r="321" spans="1:7" ht="15" customHeight="1">
      <c r="A321" s="118" t="s">
        <v>382</v>
      </c>
      <c r="B321" s="119">
        <v>4127</v>
      </c>
      <c r="C321" s="120" t="s">
        <v>388</v>
      </c>
      <c r="D321" s="121">
        <v>4645</v>
      </c>
      <c r="E321" s="122">
        <v>1854</v>
      </c>
      <c r="F321" s="121">
        <v>0</v>
      </c>
      <c r="G321" s="122">
        <f t="shared" si="4"/>
        <v>6499</v>
      </c>
    </row>
    <row r="322" spans="1:7" ht="15" customHeight="1">
      <c r="A322" s="118" t="s">
        <v>382</v>
      </c>
      <c r="B322" s="119">
        <v>4129</v>
      </c>
      <c r="C322" s="120" t="s">
        <v>388</v>
      </c>
      <c r="D322" s="121">
        <v>1432</v>
      </c>
      <c r="E322" s="122">
        <v>499</v>
      </c>
      <c r="F322" s="121">
        <v>0</v>
      </c>
      <c r="G322" s="122">
        <f t="shared" si="4"/>
        <v>1931</v>
      </c>
    </row>
    <row r="323" spans="1:7" ht="15" customHeight="1">
      <c r="A323" s="118" t="s">
        <v>382</v>
      </c>
      <c r="B323" s="119">
        <v>4217</v>
      </c>
      <c r="C323" s="120" t="s">
        <v>390</v>
      </c>
      <c r="D323" s="121">
        <v>5525</v>
      </c>
      <c r="E323" s="122">
        <v>1663</v>
      </c>
      <c r="F323" s="121">
        <v>0</v>
      </c>
      <c r="G323" s="122">
        <f t="shared" si="4"/>
        <v>7188</v>
      </c>
    </row>
    <row r="324" spans="1:7" ht="15" customHeight="1">
      <c r="A324" s="118" t="s">
        <v>382</v>
      </c>
      <c r="B324" s="119">
        <v>4219</v>
      </c>
      <c r="C324" s="120" t="s">
        <v>390</v>
      </c>
      <c r="D324" s="121">
        <v>975</v>
      </c>
      <c r="E324" s="122">
        <v>1338</v>
      </c>
      <c r="F324" s="121">
        <v>0</v>
      </c>
      <c r="G324" s="122">
        <f t="shared" si="4"/>
        <v>2313</v>
      </c>
    </row>
    <row r="325" spans="1:7" ht="15" customHeight="1">
      <c r="A325" s="118" t="s">
        <v>382</v>
      </c>
      <c r="B325" s="119">
        <v>4267</v>
      </c>
      <c r="C325" s="120" t="s">
        <v>413</v>
      </c>
      <c r="D325" s="121">
        <v>9002</v>
      </c>
      <c r="E325" s="122">
        <v>0</v>
      </c>
      <c r="F325" s="121">
        <v>9002</v>
      </c>
      <c r="G325" s="122">
        <f t="shared" si="4"/>
        <v>0</v>
      </c>
    </row>
    <row r="326" spans="1:7" ht="15" customHeight="1">
      <c r="A326" s="118" t="s">
        <v>382</v>
      </c>
      <c r="B326" s="119">
        <v>4269</v>
      </c>
      <c r="C326" s="120" t="s">
        <v>413</v>
      </c>
      <c r="D326" s="121">
        <v>1796</v>
      </c>
      <c r="E326" s="122">
        <v>0</v>
      </c>
      <c r="F326" s="121">
        <v>1796</v>
      </c>
      <c r="G326" s="122">
        <f t="shared" si="4"/>
        <v>0</v>
      </c>
    </row>
    <row r="327" spans="1:7" ht="15" customHeight="1">
      <c r="A327" s="118" t="s">
        <v>382</v>
      </c>
      <c r="B327" s="119">
        <v>4307</v>
      </c>
      <c r="C327" s="120" t="s">
        <v>391</v>
      </c>
      <c r="D327" s="121">
        <v>293950</v>
      </c>
      <c r="E327" s="122">
        <v>13399</v>
      </c>
      <c r="F327" s="121">
        <v>0</v>
      </c>
      <c r="G327" s="122">
        <f t="shared" si="4"/>
        <v>307349</v>
      </c>
    </row>
    <row r="328" spans="1:7" ht="15" customHeight="1">
      <c r="A328" s="118" t="s">
        <v>382</v>
      </c>
      <c r="B328" s="119">
        <v>4309</v>
      </c>
      <c r="C328" s="120" t="s">
        <v>391</v>
      </c>
      <c r="D328" s="121">
        <v>87814</v>
      </c>
      <c r="E328" s="122">
        <v>7509</v>
      </c>
      <c r="F328" s="121">
        <v>0</v>
      </c>
      <c r="G328" s="122">
        <f t="shared" si="4"/>
        <v>95323</v>
      </c>
    </row>
    <row r="329" spans="1:7" ht="15" customHeight="1">
      <c r="A329" s="118" t="s">
        <v>382</v>
      </c>
      <c r="B329" s="119">
        <v>6050</v>
      </c>
      <c r="C329" s="120" t="s">
        <v>396</v>
      </c>
      <c r="D329" s="121">
        <v>6994467</v>
      </c>
      <c r="E329" s="122">
        <v>188174</v>
      </c>
      <c r="F329" s="121">
        <v>0</v>
      </c>
      <c r="G329" s="122">
        <f t="shared" si="4"/>
        <v>7182641</v>
      </c>
    </row>
    <row r="330" spans="1:7" ht="15" customHeight="1">
      <c r="A330" s="118" t="s">
        <v>382</v>
      </c>
      <c r="B330" s="119">
        <v>6057</v>
      </c>
      <c r="C330" s="120" t="s">
        <v>396</v>
      </c>
      <c r="D330" s="121">
        <v>8215319</v>
      </c>
      <c r="E330" s="122">
        <v>0</v>
      </c>
      <c r="F330" s="121">
        <v>1749325</v>
      </c>
      <c r="G330" s="122">
        <f t="shared" si="4"/>
        <v>6465994</v>
      </c>
    </row>
    <row r="331" spans="1:7" ht="15" customHeight="1">
      <c r="A331" s="118" t="s">
        <v>382</v>
      </c>
      <c r="B331" s="119">
        <v>6059</v>
      </c>
      <c r="C331" s="120" t="s">
        <v>396</v>
      </c>
      <c r="D331" s="121">
        <v>2090798</v>
      </c>
      <c r="E331" s="122">
        <v>0</v>
      </c>
      <c r="F331" s="121">
        <v>309066</v>
      </c>
      <c r="G331" s="122">
        <f t="shared" si="4"/>
        <v>1781732</v>
      </c>
    </row>
    <row r="332" spans="1:7" s="133" customFormat="1" ht="27.75" customHeight="1">
      <c r="A332" s="128">
        <v>85416</v>
      </c>
      <c r="B332" s="129" t="s">
        <v>382</v>
      </c>
      <c r="C332" s="130" t="s">
        <v>173</v>
      </c>
      <c r="D332" s="131">
        <v>4583850</v>
      </c>
      <c r="E332" s="132">
        <f>SUM(E333:E334)</f>
        <v>10000</v>
      </c>
      <c r="F332" s="132">
        <f>SUM(F333:F334)</f>
        <v>0</v>
      </c>
      <c r="G332" s="132">
        <f t="shared" ref="G332:G395" si="5">D332+E332-F332</f>
        <v>4593850</v>
      </c>
    </row>
    <row r="333" spans="1:7" ht="15" customHeight="1">
      <c r="A333" s="118" t="s">
        <v>382</v>
      </c>
      <c r="B333" s="119">
        <v>4307</v>
      </c>
      <c r="C333" s="120" t="s">
        <v>391</v>
      </c>
      <c r="D333" s="121">
        <v>31776</v>
      </c>
      <c r="E333" s="122">
        <v>8500</v>
      </c>
      <c r="F333" s="121">
        <v>0</v>
      </c>
      <c r="G333" s="122">
        <f t="shared" si="5"/>
        <v>40276</v>
      </c>
    </row>
    <row r="334" spans="1:7" ht="15" customHeight="1">
      <c r="A334" s="118" t="s">
        <v>382</v>
      </c>
      <c r="B334" s="119">
        <v>4309</v>
      </c>
      <c r="C334" s="120" t="s">
        <v>391</v>
      </c>
      <c r="D334" s="121">
        <v>5608</v>
      </c>
      <c r="E334" s="122">
        <v>1500</v>
      </c>
      <c r="F334" s="121">
        <v>0</v>
      </c>
      <c r="G334" s="122">
        <f t="shared" si="5"/>
        <v>7108</v>
      </c>
    </row>
    <row r="335" spans="1:7" s="133" customFormat="1" ht="28.15" customHeight="1">
      <c r="A335" s="134" t="s">
        <v>418</v>
      </c>
      <c r="B335" s="135" t="s">
        <v>382</v>
      </c>
      <c r="C335" s="136" t="s">
        <v>38</v>
      </c>
      <c r="D335" s="137">
        <v>17987868</v>
      </c>
      <c r="E335" s="138">
        <f>E336</f>
        <v>769345</v>
      </c>
      <c r="F335" s="138">
        <f>F336</f>
        <v>1500000</v>
      </c>
      <c r="G335" s="138">
        <f t="shared" si="5"/>
        <v>17257213</v>
      </c>
    </row>
    <row r="336" spans="1:7" s="133" customFormat="1" ht="15" customHeight="1">
      <c r="A336" s="128">
        <v>90095</v>
      </c>
      <c r="B336" s="129" t="s">
        <v>382</v>
      </c>
      <c r="C336" s="130" t="s">
        <v>51</v>
      </c>
      <c r="D336" s="131">
        <v>13133348</v>
      </c>
      <c r="E336" s="132">
        <f>SUM(E337:E340)</f>
        <v>769345</v>
      </c>
      <c r="F336" s="132">
        <f>SUM(F337:F340)</f>
        <v>1500000</v>
      </c>
      <c r="G336" s="132">
        <f t="shared" si="5"/>
        <v>12402693</v>
      </c>
    </row>
    <row r="337" spans="1:7" ht="67.900000000000006" customHeight="1">
      <c r="A337" s="118" t="s">
        <v>382</v>
      </c>
      <c r="B337" s="119">
        <v>2009</v>
      </c>
      <c r="C337" s="120" t="s">
        <v>384</v>
      </c>
      <c r="D337" s="121">
        <v>5950</v>
      </c>
      <c r="E337" s="122">
        <v>416</v>
      </c>
      <c r="F337" s="121">
        <v>0</v>
      </c>
      <c r="G337" s="122">
        <f t="shared" si="5"/>
        <v>6366</v>
      </c>
    </row>
    <row r="338" spans="1:7" ht="15" customHeight="1">
      <c r="A338" s="118" t="s">
        <v>382</v>
      </c>
      <c r="B338" s="119">
        <v>6010</v>
      </c>
      <c r="C338" s="120" t="s">
        <v>406</v>
      </c>
      <c r="D338" s="121">
        <v>3000000</v>
      </c>
      <c r="E338" s="122">
        <v>0</v>
      </c>
      <c r="F338" s="121">
        <v>1500000</v>
      </c>
      <c r="G338" s="122">
        <f t="shared" si="5"/>
        <v>1500000</v>
      </c>
    </row>
    <row r="339" spans="1:7" ht="67.900000000000006" customHeight="1">
      <c r="A339" s="118" t="s">
        <v>382</v>
      </c>
      <c r="B339" s="119">
        <v>6209</v>
      </c>
      <c r="C339" s="120" t="s">
        <v>410</v>
      </c>
      <c r="D339" s="121">
        <v>699521</v>
      </c>
      <c r="E339" s="122">
        <v>30631</v>
      </c>
      <c r="F339" s="121">
        <v>0</v>
      </c>
      <c r="G339" s="122">
        <f t="shared" si="5"/>
        <v>730152</v>
      </c>
    </row>
    <row r="340" spans="1:7" ht="67.900000000000006" customHeight="1">
      <c r="A340" s="123" t="s">
        <v>382</v>
      </c>
      <c r="B340" s="124">
        <v>6259</v>
      </c>
      <c r="C340" s="125" t="s">
        <v>411</v>
      </c>
      <c r="D340" s="126">
        <v>7735507</v>
      </c>
      <c r="E340" s="127">
        <v>738298</v>
      </c>
      <c r="F340" s="126">
        <v>0</v>
      </c>
      <c r="G340" s="127">
        <f t="shared" si="5"/>
        <v>8473805</v>
      </c>
    </row>
    <row r="341" spans="1:7" s="133" customFormat="1" ht="28.15" customHeight="1">
      <c r="A341" s="134" t="s">
        <v>271</v>
      </c>
      <c r="B341" s="135" t="s">
        <v>382</v>
      </c>
      <c r="C341" s="136" t="s">
        <v>39</v>
      </c>
      <c r="D341" s="137">
        <v>133004066</v>
      </c>
      <c r="E341" s="138">
        <f>E342+E344+E347+E351+E354+E357+E360+E364+E377</f>
        <v>8422605</v>
      </c>
      <c r="F341" s="138">
        <f>F342+F344+F347+F351+F354+F357+F360+F364+F377</f>
        <v>9750502</v>
      </c>
      <c r="G341" s="138">
        <f t="shared" si="5"/>
        <v>131676169</v>
      </c>
    </row>
    <row r="342" spans="1:7" s="133" customFormat="1" ht="15" customHeight="1">
      <c r="A342" s="128">
        <v>92105</v>
      </c>
      <c r="B342" s="129" t="s">
        <v>382</v>
      </c>
      <c r="C342" s="130" t="s">
        <v>190</v>
      </c>
      <c r="D342" s="131">
        <v>470000</v>
      </c>
      <c r="E342" s="132">
        <f>E343</f>
        <v>20000</v>
      </c>
      <c r="F342" s="132">
        <f>F343</f>
        <v>0</v>
      </c>
      <c r="G342" s="132">
        <f t="shared" si="5"/>
        <v>490000</v>
      </c>
    </row>
    <row r="343" spans="1:7" ht="41.45" customHeight="1">
      <c r="A343" s="118" t="s">
        <v>382</v>
      </c>
      <c r="B343" s="119">
        <v>6220</v>
      </c>
      <c r="C343" s="120" t="s">
        <v>405</v>
      </c>
      <c r="D343" s="121">
        <v>0</v>
      </c>
      <c r="E343" s="122">
        <v>20000</v>
      </c>
      <c r="F343" s="121">
        <v>0</v>
      </c>
      <c r="G343" s="122">
        <f t="shared" si="5"/>
        <v>20000</v>
      </c>
    </row>
    <row r="344" spans="1:7" s="133" customFormat="1" ht="15" customHeight="1">
      <c r="A344" s="128">
        <v>92106</v>
      </c>
      <c r="B344" s="129" t="s">
        <v>382</v>
      </c>
      <c r="C344" s="130" t="s">
        <v>419</v>
      </c>
      <c r="D344" s="131">
        <v>33730267</v>
      </c>
      <c r="E344" s="132">
        <f>SUM(E345:E346)</f>
        <v>3473452</v>
      </c>
      <c r="F344" s="132">
        <f>SUM(F345:F346)</f>
        <v>0</v>
      </c>
      <c r="G344" s="132">
        <f t="shared" si="5"/>
        <v>37203719</v>
      </c>
    </row>
    <row r="345" spans="1:7" ht="28.15" customHeight="1">
      <c r="A345" s="118" t="s">
        <v>382</v>
      </c>
      <c r="B345" s="119">
        <v>2800</v>
      </c>
      <c r="C345" s="120" t="s">
        <v>420</v>
      </c>
      <c r="D345" s="121">
        <v>29641</v>
      </c>
      <c r="E345" s="122">
        <v>180067</v>
      </c>
      <c r="F345" s="121">
        <v>0</v>
      </c>
      <c r="G345" s="122">
        <f t="shared" si="5"/>
        <v>209708</v>
      </c>
    </row>
    <row r="346" spans="1:7" ht="43.15" customHeight="1">
      <c r="A346" s="118" t="s">
        <v>382</v>
      </c>
      <c r="B346" s="119">
        <v>6220</v>
      </c>
      <c r="C346" s="120" t="s">
        <v>405</v>
      </c>
      <c r="D346" s="121">
        <v>4050626</v>
      </c>
      <c r="E346" s="122">
        <v>3293385</v>
      </c>
      <c r="F346" s="121">
        <v>0</v>
      </c>
      <c r="G346" s="122">
        <f t="shared" si="5"/>
        <v>7344011</v>
      </c>
    </row>
    <row r="347" spans="1:7" s="133" customFormat="1" ht="15" customHeight="1">
      <c r="A347" s="128">
        <v>92108</v>
      </c>
      <c r="B347" s="129" t="s">
        <v>382</v>
      </c>
      <c r="C347" s="130" t="s">
        <v>178</v>
      </c>
      <c r="D347" s="131">
        <v>19767002</v>
      </c>
      <c r="E347" s="132">
        <f>SUM(E348:E350)</f>
        <v>1920475</v>
      </c>
      <c r="F347" s="132">
        <f>SUM(F348:F350)</f>
        <v>9750502</v>
      </c>
      <c r="G347" s="132">
        <f t="shared" si="5"/>
        <v>11936975</v>
      </c>
    </row>
    <row r="348" spans="1:7" ht="15" customHeight="1">
      <c r="A348" s="118" t="s">
        <v>382</v>
      </c>
      <c r="B348" s="119">
        <v>6058</v>
      </c>
      <c r="C348" s="120" t="s">
        <v>396</v>
      </c>
      <c r="D348" s="121">
        <v>8287927</v>
      </c>
      <c r="E348" s="122">
        <v>0</v>
      </c>
      <c r="F348" s="121">
        <v>8287927</v>
      </c>
      <c r="G348" s="122">
        <f t="shared" si="5"/>
        <v>0</v>
      </c>
    </row>
    <row r="349" spans="1:7" ht="15" customHeight="1">
      <c r="A349" s="123" t="s">
        <v>382</v>
      </c>
      <c r="B349" s="124">
        <v>6059</v>
      </c>
      <c r="C349" s="125" t="s">
        <v>396</v>
      </c>
      <c r="D349" s="126">
        <v>1462575</v>
      </c>
      <c r="E349" s="127">
        <v>0</v>
      </c>
      <c r="F349" s="126">
        <v>1462575</v>
      </c>
      <c r="G349" s="127">
        <f t="shared" si="5"/>
        <v>0</v>
      </c>
    </row>
    <row r="350" spans="1:7" ht="43.15" customHeight="1">
      <c r="A350" s="461" t="s">
        <v>382</v>
      </c>
      <c r="B350" s="462">
        <v>6220</v>
      </c>
      <c r="C350" s="463" t="s">
        <v>405</v>
      </c>
      <c r="D350" s="464">
        <v>0</v>
      </c>
      <c r="E350" s="465">
        <v>1920475</v>
      </c>
      <c r="F350" s="464">
        <v>0</v>
      </c>
      <c r="G350" s="465">
        <f t="shared" si="5"/>
        <v>1920475</v>
      </c>
    </row>
    <row r="351" spans="1:7" s="133" customFormat="1" ht="15" customHeight="1">
      <c r="A351" s="128">
        <v>92109</v>
      </c>
      <c r="B351" s="129" t="s">
        <v>382</v>
      </c>
      <c r="C351" s="130" t="s">
        <v>179</v>
      </c>
      <c r="D351" s="131">
        <v>7577835</v>
      </c>
      <c r="E351" s="132">
        <f>SUM(E352:E353)</f>
        <v>565059</v>
      </c>
      <c r="F351" s="132">
        <f>SUM(F352:F353)</f>
        <v>0</v>
      </c>
      <c r="G351" s="132">
        <f t="shared" si="5"/>
        <v>8142894</v>
      </c>
    </row>
    <row r="352" spans="1:7" ht="28.15" customHeight="1">
      <c r="A352" s="118" t="s">
        <v>382</v>
      </c>
      <c r="B352" s="119">
        <v>2480</v>
      </c>
      <c r="C352" s="120" t="s">
        <v>421</v>
      </c>
      <c r="D352" s="121">
        <v>7082552</v>
      </c>
      <c r="E352" s="122">
        <v>537000</v>
      </c>
      <c r="F352" s="121">
        <v>0</v>
      </c>
      <c r="G352" s="122">
        <f t="shared" si="5"/>
        <v>7619552</v>
      </c>
    </row>
    <row r="353" spans="1:7" ht="41.45" customHeight="1">
      <c r="A353" s="118" t="s">
        <v>382</v>
      </c>
      <c r="B353" s="119">
        <v>6220</v>
      </c>
      <c r="C353" s="120" t="s">
        <v>405</v>
      </c>
      <c r="D353" s="121">
        <v>353283</v>
      </c>
      <c r="E353" s="122">
        <v>28059</v>
      </c>
      <c r="F353" s="121">
        <v>0</v>
      </c>
      <c r="G353" s="122">
        <f t="shared" si="5"/>
        <v>381342</v>
      </c>
    </row>
    <row r="354" spans="1:7" s="133" customFormat="1" ht="15" customHeight="1">
      <c r="A354" s="128">
        <v>92110</v>
      </c>
      <c r="B354" s="129" t="s">
        <v>382</v>
      </c>
      <c r="C354" s="130" t="s">
        <v>180</v>
      </c>
      <c r="D354" s="131">
        <v>2519000</v>
      </c>
      <c r="E354" s="132">
        <f>SUM(E355:E356)</f>
        <v>43846</v>
      </c>
      <c r="F354" s="132">
        <f>SUM(F355:F356)</f>
        <v>0</v>
      </c>
      <c r="G354" s="132">
        <f t="shared" si="5"/>
        <v>2562846</v>
      </c>
    </row>
    <row r="355" spans="1:7" ht="28.15" customHeight="1">
      <c r="A355" s="118" t="s">
        <v>382</v>
      </c>
      <c r="B355" s="119">
        <v>2480</v>
      </c>
      <c r="C355" s="120" t="s">
        <v>421</v>
      </c>
      <c r="D355" s="121">
        <v>2460000</v>
      </c>
      <c r="E355" s="122">
        <v>2646</v>
      </c>
      <c r="F355" s="121">
        <v>0</v>
      </c>
      <c r="G355" s="122">
        <f t="shared" si="5"/>
        <v>2462646</v>
      </c>
    </row>
    <row r="356" spans="1:7" ht="28.15" customHeight="1">
      <c r="A356" s="118" t="s">
        <v>382</v>
      </c>
      <c r="B356" s="119">
        <v>2800</v>
      </c>
      <c r="C356" s="120" t="s">
        <v>420</v>
      </c>
      <c r="D356" s="121">
        <v>0</v>
      </c>
      <c r="E356" s="122">
        <v>41200</v>
      </c>
      <c r="F356" s="121">
        <v>0</v>
      </c>
      <c r="G356" s="122">
        <f t="shared" si="5"/>
        <v>41200</v>
      </c>
    </row>
    <row r="357" spans="1:7" s="133" customFormat="1" ht="15" customHeight="1">
      <c r="A357" s="128">
        <v>92116</v>
      </c>
      <c r="B357" s="129" t="s">
        <v>382</v>
      </c>
      <c r="C357" s="130" t="s">
        <v>182</v>
      </c>
      <c r="D357" s="131">
        <v>22002800</v>
      </c>
      <c r="E357" s="132">
        <f>SUM(E358:E359)</f>
        <v>247500</v>
      </c>
      <c r="F357" s="132">
        <f>SUM(F358:F359)</f>
        <v>0</v>
      </c>
      <c r="G357" s="132">
        <f t="shared" si="5"/>
        <v>22250300</v>
      </c>
    </row>
    <row r="358" spans="1:7" ht="28.15" customHeight="1">
      <c r="A358" s="118" t="s">
        <v>382</v>
      </c>
      <c r="B358" s="119">
        <v>2800</v>
      </c>
      <c r="C358" s="120" t="s">
        <v>420</v>
      </c>
      <c r="D358" s="121">
        <v>51000</v>
      </c>
      <c r="E358" s="122">
        <v>92100</v>
      </c>
      <c r="F358" s="121">
        <v>0</v>
      </c>
      <c r="G358" s="122">
        <f t="shared" si="5"/>
        <v>143100</v>
      </c>
    </row>
    <row r="359" spans="1:7" ht="41.45" customHeight="1">
      <c r="A359" s="118" t="s">
        <v>382</v>
      </c>
      <c r="B359" s="119">
        <v>6220</v>
      </c>
      <c r="C359" s="120" t="s">
        <v>405</v>
      </c>
      <c r="D359" s="121">
        <v>50500</v>
      </c>
      <c r="E359" s="122">
        <v>155400</v>
      </c>
      <c r="F359" s="121">
        <v>0</v>
      </c>
      <c r="G359" s="122">
        <f t="shared" si="5"/>
        <v>205900</v>
      </c>
    </row>
    <row r="360" spans="1:7" s="133" customFormat="1" ht="15" customHeight="1">
      <c r="A360" s="128">
        <v>92118</v>
      </c>
      <c r="B360" s="129" t="s">
        <v>382</v>
      </c>
      <c r="C360" s="130" t="s">
        <v>183</v>
      </c>
      <c r="D360" s="131">
        <v>15688578</v>
      </c>
      <c r="E360" s="132">
        <f>SUM(E361:E363)</f>
        <v>493572</v>
      </c>
      <c r="F360" s="132">
        <f>SUM(F361:F363)</f>
        <v>0</v>
      </c>
      <c r="G360" s="132">
        <f t="shared" si="5"/>
        <v>16182150</v>
      </c>
    </row>
    <row r="361" spans="1:7" ht="28.15" customHeight="1">
      <c r="A361" s="118" t="s">
        <v>382</v>
      </c>
      <c r="B361" s="119">
        <v>2480</v>
      </c>
      <c r="C361" s="120" t="s">
        <v>421</v>
      </c>
      <c r="D361" s="121">
        <v>14794426</v>
      </c>
      <c r="E361" s="122">
        <v>222996</v>
      </c>
      <c r="F361" s="121">
        <v>0</v>
      </c>
      <c r="G361" s="122">
        <f t="shared" si="5"/>
        <v>15017422</v>
      </c>
    </row>
    <row r="362" spans="1:7" ht="28.15" customHeight="1">
      <c r="A362" s="118" t="s">
        <v>382</v>
      </c>
      <c r="B362" s="119">
        <v>2800</v>
      </c>
      <c r="C362" s="120" t="s">
        <v>420</v>
      </c>
      <c r="D362" s="121">
        <v>0</v>
      </c>
      <c r="E362" s="122">
        <v>143800</v>
      </c>
      <c r="F362" s="121">
        <v>0</v>
      </c>
      <c r="G362" s="122">
        <f t="shared" si="5"/>
        <v>143800</v>
      </c>
    </row>
    <row r="363" spans="1:7" ht="43.15" customHeight="1">
      <c r="A363" s="118" t="s">
        <v>382</v>
      </c>
      <c r="B363" s="119">
        <v>6220</v>
      </c>
      <c r="C363" s="120" t="s">
        <v>405</v>
      </c>
      <c r="D363" s="121">
        <v>820152</v>
      </c>
      <c r="E363" s="122">
        <v>126776</v>
      </c>
      <c r="F363" s="121">
        <v>0</v>
      </c>
      <c r="G363" s="122">
        <f t="shared" si="5"/>
        <v>946928</v>
      </c>
    </row>
    <row r="364" spans="1:7" s="133" customFormat="1" ht="15" customHeight="1">
      <c r="A364" s="128">
        <v>92120</v>
      </c>
      <c r="B364" s="129" t="s">
        <v>382</v>
      </c>
      <c r="C364" s="130" t="s">
        <v>184</v>
      </c>
      <c r="D364" s="131">
        <v>1670648</v>
      </c>
      <c r="E364" s="132">
        <f>SUM(E365:E376)</f>
        <v>208028</v>
      </c>
      <c r="F364" s="132">
        <f>SUM(F365:F376)</f>
        <v>0</v>
      </c>
      <c r="G364" s="132">
        <f t="shared" si="5"/>
        <v>1878676</v>
      </c>
    </row>
    <row r="365" spans="1:7" ht="15" customHeight="1">
      <c r="A365" s="118" t="s">
        <v>382</v>
      </c>
      <c r="B365" s="119">
        <v>4017</v>
      </c>
      <c r="C365" s="120" t="s">
        <v>386</v>
      </c>
      <c r="D365" s="121">
        <v>0</v>
      </c>
      <c r="E365" s="122">
        <v>98828</v>
      </c>
      <c r="F365" s="121">
        <v>0</v>
      </c>
      <c r="G365" s="122">
        <f t="shared" si="5"/>
        <v>98828</v>
      </c>
    </row>
    <row r="366" spans="1:7" ht="15" customHeight="1">
      <c r="A366" s="118" t="s">
        <v>382</v>
      </c>
      <c r="B366" s="119">
        <v>4019</v>
      </c>
      <c r="C366" s="120" t="s">
        <v>386</v>
      </c>
      <c r="D366" s="121">
        <v>0</v>
      </c>
      <c r="E366" s="122">
        <v>32942</v>
      </c>
      <c r="F366" s="121">
        <v>0</v>
      </c>
      <c r="G366" s="122">
        <f t="shared" si="5"/>
        <v>32942</v>
      </c>
    </row>
    <row r="367" spans="1:7" ht="15" customHeight="1">
      <c r="A367" s="118" t="s">
        <v>382</v>
      </c>
      <c r="B367" s="119">
        <v>4117</v>
      </c>
      <c r="C367" s="120" t="s">
        <v>387</v>
      </c>
      <c r="D367" s="121">
        <v>0</v>
      </c>
      <c r="E367" s="122">
        <v>17505</v>
      </c>
      <c r="F367" s="121">
        <v>0</v>
      </c>
      <c r="G367" s="122">
        <f t="shared" si="5"/>
        <v>17505</v>
      </c>
    </row>
    <row r="368" spans="1:7" ht="15" customHeight="1">
      <c r="A368" s="118" t="s">
        <v>382</v>
      </c>
      <c r="B368" s="119">
        <v>4119</v>
      </c>
      <c r="C368" s="120" t="s">
        <v>387</v>
      </c>
      <c r="D368" s="121">
        <v>0</v>
      </c>
      <c r="E368" s="122">
        <v>5834</v>
      </c>
      <c r="F368" s="121">
        <v>0</v>
      </c>
      <c r="G368" s="122">
        <f t="shared" si="5"/>
        <v>5834</v>
      </c>
    </row>
    <row r="369" spans="1:7" ht="15" customHeight="1">
      <c r="A369" s="118" t="s">
        <v>382</v>
      </c>
      <c r="B369" s="119">
        <v>4127</v>
      </c>
      <c r="C369" s="120" t="s">
        <v>388</v>
      </c>
      <c r="D369" s="121">
        <v>0</v>
      </c>
      <c r="E369" s="122">
        <v>2494</v>
      </c>
      <c r="F369" s="121">
        <v>0</v>
      </c>
      <c r="G369" s="122">
        <f t="shared" si="5"/>
        <v>2494</v>
      </c>
    </row>
    <row r="370" spans="1:7" ht="15" customHeight="1">
      <c r="A370" s="118" t="s">
        <v>382</v>
      </c>
      <c r="B370" s="119">
        <v>4129</v>
      </c>
      <c r="C370" s="120" t="s">
        <v>388</v>
      </c>
      <c r="D370" s="121">
        <v>0</v>
      </c>
      <c r="E370" s="122">
        <v>830</v>
      </c>
      <c r="F370" s="121">
        <v>0</v>
      </c>
      <c r="G370" s="122">
        <f t="shared" si="5"/>
        <v>830</v>
      </c>
    </row>
    <row r="371" spans="1:7" ht="15" customHeight="1">
      <c r="A371" s="118" t="s">
        <v>382</v>
      </c>
      <c r="B371" s="119">
        <v>4217</v>
      </c>
      <c r="C371" s="120" t="s">
        <v>390</v>
      </c>
      <c r="D371" s="121">
        <v>0</v>
      </c>
      <c r="E371" s="122">
        <v>3668</v>
      </c>
      <c r="F371" s="121">
        <v>0</v>
      </c>
      <c r="G371" s="122">
        <f t="shared" si="5"/>
        <v>3668</v>
      </c>
    </row>
    <row r="372" spans="1:7" ht="15" customHeight="1">
      <c r="A372" s="118" t="s">
        <v>382</v>
      </c>
      <c r="B372" s="119">
        <v>4219</v>
      </c>
      <c r="C372" s="120" t="s">
        <v>390</v>
      </c>
      <c r="D372" s="121">
        <v>0</v>
      </c>
      <c r="E372" s="122">
        <v>1222</v>
      </c>
      <c r="F372" s="121">
        <v>0</v>
      </c>
      <c r="G372" s="122">
        <f t="shared" si="5"/>
        <v>1222</v>
      </c>
    </row>
    <row r="373" spans="1:7" ht="15" customHeight="1">
      <c r="A373" s="118" t="s">
        <v>382</v>
      </c>
      <c r="B373" s="119">
        <v>4267</v>
      </c>
      <c r="C373" s="120" t="s">
        <v>413</v>
      </c>
      <c r="D373" s="121">
        <v>0</v>
      </c>
      <c r="E373" s="122">
        <v>8116</v>
      </c>
      <c r="F373" s="121">
        <v>0</v>
      </c>
      <c r="G373" s="122">
        <f t="shared" si="5"/>
        <v>8116</v>
      </c>
    </row>
    <row r="374" spans="1:7" ht="15" customHeight="1">
      <c r="A374" s="118" t="s">
        <v>382</v>
      </c>
      <c r="B374" s="119">
        <v>4269</v>
      </c>
      <c r="C374" s="120" t="s">
        <v>413</v>
      </c>
      <c r="D374" s="121">
        <v>0</v>
      </c>
      <c r="E374" s="122">
        <v>2706</v>
      </c>
      <c r="F374" s="121">
        <v>0</v>
      </c>
      <c r="G374" s="122">
        <f t="shared" si="5"/>
        <v>2706</v>
      </c>
    </row>
    <row r="375" spans="1:7" ht="15" customHeight="1">
      <c r="A375" s="118" t="s">
        <v>382</v>
      </c>
      <c r="B375" s="119">
        <v>4307</v>
      </c>
      <c r="C375" s="120" t="s">
        <v>391</v>
      </c>
      <c r="D375" s="121">
        <v>0</v>
      </c>
      <c r="E375" s="122">
        <v>25414</v>
      </c>
      <c r="F375" s="121">
        <v>0</v>
      </c>
      <c r="G375" s="122">
        <f t="shared" si="5"/>
        <v>25414</v>
      </c>
    </row>
    <row r="376" spans="1:7" ht="15" customHeight="1">
      <c r="A376" s="118" t="s">
        <v>382</v>
      </c>
      <c r="B376" s="119">
        <v>4309</v>
      </c>
      <c r="C376" s="120" t="s">
        <v>391</v>
      </c>
      <c r="D376" s="121">
        <v>0</v>
      </c>
      <c r="E376" s="122">
        <v>8469</v>
      </c>
      <c r="F376" s="121">
        <v>0</v>
      </c>
      <c r="G376" s="122">
        <f t="shared" si="5"/>
        <v>8469</v>
      </c>
    </row>
    <row r="377" spans="1:7" s="133" customFormat="1" ht="15" customHeight="1">
      <c r="A377" s="128">
        <v>92195</v>
      </c>
      <c r="B377" s="129" t="s">
        <v>382</v>
      </c>
      <c r="C377" s="130" t="s">
        <v>51</v>
      </c>
      <c r="D377" s="131">
        <v>28278436</v>
      </c>
      <c r="E377" s="132">
        <f>SUM(E378:E391)</f>
        <v>1450673</v>
      </c>
      <c r="F377" s="132">
        <f>SUM(F378:F391)</f>
        <v>0</v>
      </c>
      <c r="G377" s="132">
        <f t="shared" si="5"/>
        <v>29729109</v>
      </c>
    </row>
    <row r="378" spans="1:7" ht="67.900000000000006" customHeight="1">
      <c r="A378" s="118" t="s">
        <v>382</v>
      </c>
      <c r="B378" s="119">
        <v>2007</v>
      </c>
      <c r="C378" s="120" t="s">
        <v>384</v>
      </c>
      <c r="D378" s="121">
        <v>867529</v>
      </c>
      <c r="E378" s="122">
        <v>380068</v>
      </c>
      <c r="F378" s="121">
        <v>0</v>
      </c>
      <c r="G378" s="122">
        <f t="shared" si="5"/>
        <v>1247597</v>
      </c>
    </row>
    <row r="379" spans="1:7" ht="15" customHeight="1">
      <c r="A379" s="118" t="s">
        <v>382</v>
      </c>
      <c r="B379" s="119">
        <v>4017</v>
      </c>
      <c r="C379" s="120" t="s">
        <v>386</v>
      </c>
      <c r="D379" s="121">
        <v>19720</v>
      </c>
      <c r="E379" s="122">
        <v>15029</v>
      </c>
      <c r="F379" s="121">
        <v>0</v>
      </c>
      <c r="G379" s="122">
        <f t="shared" si="5"/>
        <v>34749</v>
      </c>
    </row>
    <row r="380" spans="1:7" ht="15" customHeight="1">
      <c r="A380" s="118" t="s">
        <v>382</v>
      </c>
      <c r="B380" s="119">
        <v>4019</v>
      </c>
      <c r="C380" s="120" t="s">
        <v>386</v>
      </c>
      <c r="D380" s="121">
        <v>3480</v>
      </c>
      <c r="E380" s="122">
        <v>2652</v>
      </c>
      <c r="F380" s="121">
        <v>0</v>
      </c>
      <c r="G380" s="122">
        <f t="shared" si="5"/>
        <v>6132</v>
      </c>
    </row>
    <row r="381" spans="1:7" ht="15" customHeight="1">
      <c r="A381" s="118" t="s">
        <v>382</v>
      </c>
      <c r="B381" s="119">
        <v>4117</v>
      </c>
      <c r="C381" s="120" t="s">
        <v>387</v>
      </c>
      <c r="D381" s="121">
        <v>4420</v>
      </c>
      <c r="E381" s="122">
        <v>3948</v>
      </c>
      <c r="F381" s="121">
        <v>0</v>
      </c>
      <c r="G381" s="122">
        <f t="shared" si="5"/>
        <v>8368</v>
      </c>
    </row>
    <row r="382" spans="1:7" ht="15" customHeight="1">
      <c r="A382" s="118" t="s">
        <v>382</v>
      </c>
      <c r="B382" s="119">
        <v>4119</v>
      </c>
      <c r="C382" s="120" t="s">
        <v>387</v>
      </c>
      <c r="D382" s="121">
        <v>780</v>
      </c>
      <c r="E382" s="122">
        <v>697</v>
      </c>
      <c r="F382" s="121">
        <v>0</v>
      </c>
      <c r="G382" s="122">
        <f t="shared" si="5"/>
        <v>1477</v>
      </c>
    </row>
    <row r="383" spans="1:7" ht="15" customHeight="1">
      <c r="A383" s="118" t="s">
        <v>382</v>
      </c>
      <c r="B383" s="119">
        <v>4127</v>
      </c>
      <c r="C383" s="120" t="s">
        <v>388</v>
      </c>
      <c r="D383" s="121">
        <v>680</v>
      </c>
      <c r="E383" s="122">
        <v>662</v>
      </c>
      <c r="F383" s="121">
        <v>0</v>
      </c>
      <c r="G383" s="122">
        <f t="shared" si="5"/>
        <v>1342</v>
      </c>
    </row>
    <row r="384" spans="1:7" ht="15" customHeight="1">
      <c r="A384" s="118" t="s">
        <v>382</v>
      </c>
      <c r="B384" s="119">
        <v>4129</v>
      </c>
      <c r="C384" s="120" t="s">
        <v>388</v>
      </c>
      <c r="D384" s="121">
        <v>120</v>
      </c>
      <c r="E384" s="122">
        <v>117</v>
      </c>
      <c r="F384" s="121">
        <v>0</v>
      </c>
      <c r="G384" s="122">
        <f t="shared" si="5"/>
        <v>237</v>
      </c>
    </row>
    <row r="385" spans="1:7" ht="15" customHeight="1">
      <c r="A385" s="118" t="s">
        <v>382</v>
      </c>
      <c r="B385" s="119">
        <v>4177</v>
      </c>
      <c r="C385" s="120" t="s">
        <v>389</v>
      </c>
      <c r="D385" s="121">
        <v>5100</v>
      </c>
      <c r="E385" s="122">
        <v>5100</v>
      </c>
      <c r="F385" s="121">
        <v>0</v>
      </c>
      <c r="G385" s="122">
        <f t="shared" si="5"/>
        <v>10200</v>
      </c>
    </row>
    <row r="386" spans="1:7" ht="15" customHeight="1">
      <c r="A386" s="118" t="s">
        <v>382</v>
      </c>
      <c r="B386" s="119">
        <v>4179</v>
      </c>
      <c r="C386" s="120" t="s">
        <v>389</v>
      </c>
      <c r="D386" s="121">
        <v>900</v>
      </c>
      <c r="E386" s="122">
        <v>900</v>
      </c>
      <c r="F386" s="121">
        <v>0</v>
      </c>
      <c r="G386" s="122">
        <f t="shared" si="5"/>
        <v>1800</v>
      </c>
    </row>
    <row r="387" spans="1:7" ht="15" customHeight="1">
      <c r="A387" s="118" t="s">
        <v>382</v>
      </c>
      <c r="B387" s="119">
        <v>4217</v>
      </c>
      <c r="C387" s="120" t="s">
        <v>390</v>
      </c>
      <c r="D387" s="121">
        <v>4250</v>
      </c>
      <c r="E387" s="122">
        <v>34000</v>
      </c>
      <c r="F387" s="121">
        <v>0</v>
      </c>
      <c r="G387" s="122">
        <f t="shared" si="5"/>
        <v>38250</v>
      </c>
    </row>
    <row r="388" spans="1:7" ht="15" customHeight="1">
      <c r="A388" s="118" t="s">
        <v>382</v>
      </c>
      <c r="B388" s="119">
        <v>4219</v>
      </c>
      <c r="C388" s="120" t="s">
        <v>390</v>
      </c>
      <c r="D388" s="121">
        <v>750</v>
      </c>
      <c r="E388" s="122">
        <v>6000</v>
      </c>
      <c r="F388" s="121">
        <v>0</v>
      </c>
      <c r="G388" s="122">
        <f t="shared" si="5"/>
        <v>6750</v>
      </c>
    </row>
    <row r="389" spans="1:7" ht="15" customHeight="1">
      <c r="A389" s="118" t="s">
        <v>382</v>
      </c>
      <c r="B389" s="119">
        <v>4267</v>
      </c>
      <c r="C389" s="120" t="s">
        <v>413</v>
      </c>
      <c r="D389" s="121">
        <v>1275</v>
      </c>
      <c r="E389" s="122">
        <v>1275</v>
      </c>
      <c r="F389" s="121">
        <v>0</v>
      </c>
      <c r="G389" s="122">
        <f t="shared" si="5"/>
        <v>2550</v>
      </c>
    </row>
    <row r="390" spans="1:7" ht="15" customHeight="1">
      <c r="A390" s="118" t="s">
        <v>382</v>
      </c>
      <c r="B390" s="119">
        <v>4269</v>
      </c>
      <c r="C390" s="120" t="s">
        <v>413</v>
      </c>
      <c r="D390" s="121">
        <v>225</v>
      </c>
      <c r="E390" s="122">
        <v>225</v>
      </c>
      <c r="F390" s="121">
        <v>0</v>
      </c>
      <c r="G390" s="122">
        <f t="shared" si="5"/>
        <v>450</v>
      </c>
    </row>
    <row r="391" spans="1:7" ht="15" customHeight="1">
      <c r="A391" s="118" t="s">
        <v>382</v>
      </c>
      <c r="B391" s="119">
        <v>4300</v>
      </c>
      <c r="C391" s="120" t="s">
        <v>391</v>
      </c>
      <c r="D391" s="121">
        <v>3671584</v>
      </c>
      <c r="E391" s="122">
        <v>1000000</v>
      </c>
      <c r="F391" s="121">
        <v>0</v>
      </c>
      <c r="G391" s="122">
        <f t="shared" si="5"/>
        <v>4671584</v>
      </c>
    </row>
    <row r="392" spans="1:7" s="133" customFormat="1" ht="42" customHeight="1">
      <c r="A392" s="134" t="s">
        <v>422</v>
      </c>
      <c r="B392" s="135" t="s">
        <v>382</v>
      </c>
      <c r="C392" s="136" t="s">
        <v>40</v>
      </c>
      <c r="D392" s="137">
        <v>8335466</v>
      </c>
      <c r="E392" s="138">
        <f>E393</f>
        <v>1575311</v>
      </c>
      <c r="F392" s="138">
        <f>F393</f>
        <v>0</v>
      </c>
      <c r="G392" s="138">
        <f t="shared" si="5"/>
        <v>9910777</v>
      </c>
    </row>
    <row r="393" spans="1:7" s="133" customFormat="1" ht="15" customHeight="1">
      <c r="A393" s="128">
        <v>92502</v>
      </c>
      <c r="B393" s="129" t="s">
        <v>382</v>
      </c>
      <c r="C393" s="130" t="s">
        <v>185</v>
      </c>
      <c r="D393" s="131">
        <v>8335466</v>
      </c>
      <c r="E393" s="132">
        <f>SUM(E394:E415)</f>
        <v>1575311</v>
      </c>
      <c r="F393" s="132">
        <f>SUM(F394:F415)</f>
        <v>0</v>
      </c>
      <c r="G393" s="132">
        <f t="shared" si="5"/>
        <v>9910777</v>
      </c>
    </row>
    <row r="394" spans="1:7" ht="15" customHeight="1">
      <c r="A394" s="118" t="s">
        <v>382</v>
      </c>
      <c r="B394" s="119">
        <v>4010</v>
      </c>
      <c r="C394" s="120" t="s">
        <v>386</v>
      </c>
      <c r="D394" s="121">
        <v>2732837</v>
      </c>
      <c r="E394" s="122">
        <v>7150</v>
      </c>
      <c r="F394" s="121">
        <v>0</v>
      </c>
      <c r="G394" s="122">
        <f t="shared" si="5"/>
        <v>2739987</v>
      </c>
    </row>
    <row r="395" spans="1:7" ht="15" customHeight="1">
      <c r="A395" s="118" t="s">
        <v>382</v>
      </c>
      <c r="B395" s="119">
        <v>4017</v>
      </c>
      <c r="C395" s="120" t="s">
        <v>386</v>
      </c>
      <c r="D395" s="121">
        <v>0</v>
      </c>
      <c r="E395" s="122">
        <v>11400</v>
      </c>
      <c r="F395" s="121">
        <v>0</v>
      </c>
      <c r="G395" s="122">
        <f t="shared" si="5"/>
        <v>11400</v>
      </c>
    </row>
    <row r="396" spans="1:7" ht="15" customHeight="1">
      <c r="A396" s="123" t="s">
        <v>382</v>
      </c>
      <c r="B396" s="124">
        <v>4019</v>
      </c>
      <c r="C396" s="125" t="s">
        <v>386</v>
      </c>
      <c r="D396" s="126">
        <v>0</v>
      </c>
      <c r="E396" s="127">
        <v>2012</v>
      </c>
      <c r="F396" s="126">
        <v>0</v>
      </c>
      <c r="G396" s="127">
        <f t="shared" ref="G396:G415" si="6">D396+E396-F396</f>
        <v>2012</v>
      </c>
    </row>
    <row r="397" spans="1:7" ht="15" customHeight="1">
      <c r="A397" s="461" t="s">
        <v>382</v>
      </c>
      <c r="B397" s="462">
        <v>4110</v>
      </c>
      <c r="C397" s="463" t="s">
        <v>387</v>
      </c>
      <c r="D397" s="464">
        <v>507062</v>
      </c>
      <c r="E397" s="465">
        <v>1283</v>
      </c>
      <c r="F397" s="464">
        <v>0</v>
      </c>
      <c r="G397" s="465">
        <f t="shared" si="6"/>
        <v>508345</v>
      </c>
    </row>
    <row r="398" spans="1:7" ht="15" customHeight="1">
      <c r="A398" s="118" t="s">
        <v>382</v>
      </c>
      <c r="B398" s="119">
        <v>4117</v>
      </c>
      <c r="C398" s="120" t="s">
        <v>387</v>
      </c>
      <c r="D398" s="121">
        <v>0</v>
      </c>
      <c r="E398" s="122">
        <v>1950</v>
      </c>
      <c r="F398" s="121">
        <v>0</v>
      </c>
      <c r="G398" s="122">
        <f t="shared" si="6"/>
        <v>1950</v>
      </c>
    </row>
    <row r="399" spans="1:7" ht="15" customHeight="1">
      <c r="A399" s="118" t="s">
        <v>382</v>
      </c>
      <c r="B399" s="119">
        <v>4119</v>
      </c>
      <c r="C399" s="120" t="s">
        <v>387</v>
      </c>
      <c r="D399" s="121">
        <v>0</v>
      </c>
      <c r="E399" s="122">
        <v>344</v>
      </c>
      <c r="F399" s="121">
        <v>0</v>
      </c>
      <c r="G399" s="122">
        <f t="shared" si="6"/>
        <v>344</v>
      </c>
    </row>
    <row r="400" spans="1:7" ht="15" customHeight="1">
      <c r="A400" s="118" t="s">
        <v>382</v>
      </c>
      <c r="B400" s="119">
        <v>4120</v>
      </c>
      <c r="C400" s="120" t="s">
        <v>388</v>
      </c>
      <c r="D400" s="121">
        <v>60789</v>
      </c>
      <c r="E400" s="122">
        <v>176</v>
      </c>
      <c r="F400" s="121">
        <v>0</v>
      </c>
      <c r="G400" s="122">
        <f t="shared" si="6"/>
        <v>60965</v>
      </c>
    </row>
    <row r="401" spans="1:7" ht="15" customHeight="1">
      <c r="A401" s="118" t="s">
        <v>382</v>
      </c>
      <c r="B401" s="119">
        <v>4127</v>
      </c>
      <c r="C401" s="120" t="s">
        <v>388</v>
      </c>
      <c r="D401" s="121">
        <v>0</v>
      </c>
      <c r="E401" s="122">
        <v>280</v>
      </c>
      <c r="F401" s="121">
        <v>0</v>
      </c>
      <c r="G401" s="122">
        <f t="shared" si="6"/>
        <v>280</v>
      </c>
    </row>
    <row r="402" spans="1:7" ht="15" customHeight="1">
      <c r="A402" s="118" t="s">
        <v>382</v>
      </c>
      <c r="B402" s="119">
        <v>4129</v>
      </c>
      <c r="C402" s="120" t="s">
        <v>388</v>
      </c>
      <c r="D402" s="121">
        <v>0</v>
      </c>
      <c r="E402" s="122">
        <v>50</v>
      </c>
      <c r="F402" s="121">
        <v>0</v>
      </c>
      <c r="G402" s="122">
        <f t="shared" si="6"/>
        <v>50</v>
      </c>
    </row>
    <row r="403" spans="1:7" ht="15" customHeight="1">
      <c r="A403" s="118" t="s">
        <v>382</v>
      </c>
      <c r="B403" s="119">
        <v>4170</v>
      </c>
      <c r="C403" s="120" t="s">
        <v>389</v>
      </c>
      <c r="D403" s="121">
        <v>44968</v>
      </c>
      <c r="E403" s="122">
        <v>800</v>
      </c>
      <c r="F403" s="121">
        <v>0</v>
      </c>
      <c r="G403" s="122">
        <f t="shared" si="6"/>
        <v>45768</v>
      </c>
    </row>
    <row r="404" spans="1:7" ht="15" customHeight="1">
      <c r="A404" s="118" t="s">
        <v>382</v>
      </c>
      <c r="B404" s="119">
        <v>4210</v>
      </c>
      <c r="C404" s="120" t="s">
        <v>390</v>
      </c>
      <c r="D404" s="121">
        <v>255583</v>
      </c>
      <c r="E404" s="122">
        <v>18323</v>
      </c>
      <c r="F404" s="121">
        <v>0</v>
      </c>
      <c r="G404" s="122">
        <f t="shared" si="6"/>
        <v>273906</v>
      </c>
    </row>
    <row r="405" spans="1:7" ht="15" customHeight="1">
      <c r="A405" s="118" t="s">
        <v>382</v>
      </c>
      <c r="B405" s="119">
        <v>4217</v>
      </c>
      <c r="C405" s="120" t="s">
        <v>390</v>
      </c>
      <c r="D405" s="121">
        <v>0</v>
      </c>
      <c r="E405" s="122">
        <v>51000</v>
      </c>
      <c r="F405" s="121">
        <v>0</v>
      </c>
      <c r="G405" s="122">
        <f t="shared" si="6"/>
        <v>51000</v>
      </c>
    </row>
    <row r="406" spans="1:7" ht="15" customHeight="1">
      <c r="A406" s="118" t="s">
        <v>382</v>
      </c>
      <c r="B406" s="119">
        <v>4219</v>
      </c>
      <c r="C406" s="120" t="s">
        <v>390</v>
      </c>
      <c r="D406" s="121">
        <v>0</v>
      </c>
      <c r="E406" s="122">
        <v>9000</v>
      </c>
      <c r="F406" s="121">
        <v>0</v>
      </c>
      <c r="G406" s="122">
        <f t="shared" si="6"/>
        <v>9000</v>
      </c>
    </row>
    <row r="407" spans="1:7" ht="15" customHeight="1">
      <c r="A407" s="118" t="s">
        <v>382</v>
      </c>
      <c r="B407" s="119">
        <v>4300</v>
      </c>
      <c r="C407" s="120" t="s">
        <v>391</v>
      </c>
      <c r="D407" s="121">
        <v>246000</v>
      </c>
      <c r="E407" s="122">
        <v>32867</v>
      </c>
      <c r="F407" s="121">
        <v>0</v>
      </c>
      <c r="G407" s="122">
        <f t="shared" si="6"/>
        <v>278867</v>
      </c>
    </row>
    <row r="408" spans="1:7" ht="15" customHeight="1">
      <c r="A408" s="118" t="s">
        <v>382</v>
      </c>
      <c r="B408" s="119">
        <v>4307</v>
      </c>
      <c r="C408" s="120" t="s">
        <v>391</v>
      </c>
      <c r="D408" s="121">
        <v>36125</v>
      </c>
      <c r="E408" s="122">
        <v>251465</v>
      </c>
      <c r="F408" s="121">
        <v>0</v>
      </c>
      <c r="G408" s="122">
        <f t="shared" si="6"/>
        <v>287590</v>
      </c>
    </row>
    <row r="409" spans="1:7" ht="15" customHeight="1">
      <c r="A409" s="118" t="s">
        <v>382</v>
      </c>
      <c r="B409" s="119">
        <v>4309</v>
      </c>
      <c r="C409" s="120" t="s">
        <v>391</v>
      </c>
      <c r="D409" s="121">
        <v>6375</v>
      </c>
      <c r="E409" s="122">
        <v>68861</v>
      </c>
      <c r="F409" s="121">
        <v>0</v>
      </c>
      <c r="G409" s="122">
        <f t="shared" si="6"/>
        <v>75236</v>
      </c>
    </row>
    <row r="410" spans="1:7" ht="28.15" customHeight="1">
      <c r="A410" s="118" t="s">
        <v>382</v>
      </c>
      <c r="B410" s="119">
        <v>4700</v>
      </c>
      <c r="C410" s="120" t="s">
        <v>409</v>
      </c>
      <c r="D410" s="121">
        <v>7150</v>
      </c>
      <c r="E410" s="122">
        <v>2600</v>
      </c>
      <c r="F410" s="121">
        <v>0</v>
      </c>
      <c r="G410" s="122">
        <f t="shared" si="6"/>
        <v>9750</v>
      </c>
    </row>
    <row r="411" spans="1:7" ht="15" customHeight="1">
      <c r="A411" s="118" t="s">
        <v>382</v>
      </c>
      <c r="B411" s="119">
        <v>6050</v>
      </c>
      <c r="C411" s="120" t="s">
        <v>396</v>
      </c>
      <c r="D411" s="121">
        <v>5358</v>
      </c>
      <c r="E411" s="122">
        <v>10000</v>
      </c>
      <c r="F411" s="121">
        <v>0</v>
      </c>
      <c r="G411" s="122">
        <f t="shared" si="6"/>
        <v>15358</v>
      </c>
    </row>
    <row r="412" spans="1:7" ht="15" customHeight="1">
      <c r="A412" s="118" t="s">
        <v>382</v>
      </c>
      <c r="B412" s="119">
        <v>6057</v>
      </c>
      <c r="C412" s="120" t="s">
        <v>396</v>
      </c>
      <c r="D412" s="121">
        <v>2884468</v>
      </c>
      <c r="E412" s="122">
        <v>670407</v>
      </c>
      <c r="F412" s="121">
        <v>0</v>
      </c>
      <c r="G412" s="122">
        <f t="shared" si="6"/>
        <v>3554875</v>
      </c>
    </row>
    <row r="413" spans="1:7" ht="15" customHeight="1">
      <c r="A413" s="118" t="s">
        <v>382</v>
      </c>
      <c r="B413" s="119">
        <v>6059</v>
      </c>
      <c r="C413" s="120" t="s">
        <v>396</v>
      </c>
      <c r="D413" s="121">
        <v>522510</v>
      </c>
      <c r="E413" s="122">
        <v>105257</v>
      </c>
      <c r="F413" s="121">
        <v>0</v>
      </c>
      <c r="G413" s="122">
        <f t="shared" si="6"/>
        <v>627767</v>
      </c>
    </row>
    <row r="414" spans="1:7" ht="15" customHeight="1">
      <c r="A414" s="118" t="s">
        <v>382</v>
      </c>
      <c r="B414" s="119">
        <v>6067</v>
      </c>
      <c r="C414" s="120" t="s">
        <v>398</v>
      </c>
      <c r="D414" s="121">
        <v>123180</v>
      </c>
      <c r="E414" s="122">
        <v>280573</v>
      </c>
      <c r="F414" s="121">
        <v>0</v>
      </c>
      <c r="G414" s="122">
        <f t="shared" si="6"/>
        <v>403753</v>
      </c>
    </row>
    <row r="415" spans="1:7" ht="15" customHeight="1">
      <c r="A415" s="123" t="s">
        <v>382</v>
      </c>
      <c r="B415" s="124">
        <v>6069</v>
      </c>
      <c r="C415" s="125" t="s">
        <v>398</v>
      </c>
      <c r="D415" s="126">
        <v>8250</v>
      </c>
      <c r="E415" s="127">
        <v>49513</v>
      </c>
      <c r="F415" s="126">
        <v>0</v>
      </c>
      <c r="G415" s="127">
        <f t="shared" si="6"/>
        <v>57763</v>
      </c>
    </row>
  </sheetData>
  <sheetProtection password="C25B" sheet="1" objects="1" scenarios="1"/>
  <mergeCells count="5">
    <mergeCell ref="A5:G5"/>
    <mergeCell ref="B7:B8"/>
    <mergeCell ref="C7:C8"/>
    <mergeCell ref="E7:E8"/>
    <mergeCell ref="F7:F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9"/>
  <sheetViews>
    <sheetView view="pageBreakPreview" topLeftCell="A36" zoomScaleNormal="100" zoomScaleSheetLayoutView="100" workbookViewId="0">
      <selection activeCell="A54" sqref="A54:C54"/>
    </sheetView>
  </sheetViews>
  <sheetFormatPr defaultRowHeight="14.25"/>
  <cols>
    <col min="1" max="1" width="6.625" style="468" customWidth="1"/>
    <col min="2" max="2" width="4.875" style="468" customWidth="1"/>
    <col min="3" max="3" width="32.625" style="468" customWidth="1"/>
    <col min="4" max="6" width="16.125" style="468" customWidth="1"/>
    <col min="7" max="256" width="9" style="468"/>
    <col min="257" max="257" width="6.625" style="468" customWidth="1"/>
    <col min="258" max="258" width="4.875" style="468" customWidth="1"/>
    <col min="259" max="259" width="32.625" style="468" customWidth="1"/>
    <col min="260" max="262" width="16.125" style="468" customWidth="1"/>
    <col min="263" max="512" width="9" style="468"/>
    <col min="513" max="513" width="6.625" style="468" customWidth="1"/>
    <col min="514" max="514" width="4.875" style="468" customWidth="1"/>
    <col min="515" max="515" width="32.625" style="468" customWidth="1"/>
    <col min="516" max="518" width="16.125" style="468" customWidth="1"/>
    <col min="519" max="768" width="9" style="468"/>
    <col min="769" max="769" width="6.625" style="468" customWidth="1"/>
    <col min="770" max="770" width="4.875" style="468" customWidth="1"/>
    <col min="771" max="771" width="32.625" style="468" customWidth="1"/>
    <col min="772" max="774" width="16.125" style="468" customWidth="1"/>
    <col min="775" max="1024" width="9" style="468"/>
    <col min="1025" max="1025" width="6.625" style="468" customWidth="1"/>
    <col min="1026" max="1026" width="4.875" style="468" customWidth="1"/>
    <col min="1027" max="1027" width="32.625" style="468" customWidth="1"/>
    <col min="1028" max="1030" width="16.125" style="468" customWidth="1"/>
    <col min="1031" max="1280" width="9" style="468"/>
    <col min="1281" max="1281" width="6.625" style="468" customWidth="1"/>
    <col min="1282" max="1282" width="4.875" style="468" customWidth="1"/>
    <col min="1283" max="1283" width="32.625" style="468" customWidth="1"/>
    <col min="1284" max="1286" width="16.125" style="468" customWidth="1"/>
    <col min="1287" max="1536" width="9" style="468"/>
    <col min="1537" max="1537" width="6.625" style="468" customWidth="1"/>
    <col min="1538" max="1538" width="4.875" style="468" customWidth="1"/>
    <col min="1539" max="1539" width="32.625" style="468" customWidth="1"/>
    <col min="1540" max="1542" width="16.125" style="468" customWidth="1"/>
    <col min="1543" max="1792" width="9" style="468"/>
    <col min="1793" max="1793" width="6.625" style="468" customWidth="1"/>
    <col min="1794" max="1794" width="4.875" style="468" customWidth="1"/>
    <col min="1795" max="1795" width="32.625" style="468" customWidth="1"/>
    <col min="1796" max="1798" width="16.125" style="468" customWidth="1"/>
    <col min="1799" max="2048" width="9" style="468"/>
    <col min="2049" max="2049" width="6.625" style="468" customWidth="1"/>
    <col min="2050" max="2050" width="4.875" style="468" customWidth="1"/>
    <col min="2051" max="2051" width="32.625" style="468" customWidth="1"/>
    <col min="2052" max="2054" width="16.125" style="468" customWidth="1"/>
    <col min="2055" max="2304" width="9" style="468"/>
    <col min="2305" max="2305" width="6.625" style="468" customWidth="1"/>
    <col min="2306" max="2306" width="4.875" style="468" customWidth="1"/>
    <col min="2307" max="2307" width="32.625" style="468" customWidth="1"/>
    <col min="2308" max="2310" width="16.125" style="468" customWidth="1"/>
    <col min="2311" max="2560" width="9" style="468"/>
    <col min="2561" max="2561" width="6.625" style="468" customWidth="1"/>
    <col min="2562" max="2562" width="4.875" style="468" customWidth="1"/>
    <col min="2563" max="2563" width="32.625" style="468" customWidth="1"/>
    <col min="2564" max="2566" width="16.125" style="468" customWidth="1"/>
    <col min="2567" max="2816" width="9" style="468"/>
    <col min="2817" max="2817" width="6.625" style="468" customWidth="1"/>
    <col min="2818" max="2818" width="4.875" style="468" customWidth="1"/>
    <col min="2819" max="2819" width="32.625" style="468" customWidth="1"/>
    <col min="2820" max="2822" width="16.125" style="468" customWidth="1"/>
    <col min="2823" max="3072" width="9" style="468"/>
    <col min="3073" max="3073" width="6.625" style="468" customWidth="1"/>
    <col min="3074" max="3074" width="4.875" style="468" customWidth="1"/>
    <col min="3075" max="3075" width="32.625" style="468" customWidth="1"/>
    <col min="3076" max="3078" width="16.125" style="468" customWidth="1"/>
    <col min="3079" max="3328" width="9" style="468"/>
    <col min="3329" max="3329" width="6.625" style="468" customWidth="1"/>
    <col min="3330" max="3330" width="4.875" style="468" customWidth="1"/>
    <col min="3331" max="3331" width="32.625" style="468" customWidth="1"/>
    <col min="3332" max="3334" width="16.125" style="468" customWidth="1"/>
    <col min="3335" max="3584" width="9" style="468"/>
    <col min="3585" max="3585" width="6.625" style="468" customWidth="1"/>
    <col min="3586" max="3586" width="4.875" style="468" customWidth="1"/>
    <col min="3587" max="3587" width="32.625" style="468" customWidth="1"/>
    <col min="3588" max="3590" width="16.125" style="468" customWidth="1"/>
    <col min="3591" max="3840" width="9" style="468"/>
    <col min="3841" max="3841" width="6.625" style="468" customWidth="1"/>
    <col min="3842" max="3842" width="4.875" style="468" customWidth="1"/>
    <col min="3843" max="3843" width="32.625" style="468" customWidth="1"/>
    <col min="3844" max="3846" width="16.125" style="468" customWidth="1"/>
    <col min="3847" max="4096" width="9" style="468"/>
    <col min="4097" max="4097" width="6.625" style="468" customWidth="1"/>
    <col min="4098" max="4098" width="4.875" style="468" customWidth="1"/>
    <col min="4099" max="4099" width="32.625" style="468" customWidth="1"/>
    <col min="4100" max="4102" width="16.125" style="468" customWidth="1"/>
    <col min="4103" max="4352" width="9" style="468"/>
    <col min="4353" max="4353" width="6.625" style="468" customWidth="1"/>
    <col min="4354" max="4354" width="4.875" style="468" customWidth="1"/>
    <col min="4355" max="4355" width="32.625" style="468" customWidth="1"/>
    <col min="4356" max="4358" width="16.125" style="468" customWidth="1"/>
    <col min="4359" max="4608" width="9" style="468"/>
    <col min="4609" max="4609" width="6.625" style="468" customWidth="1"/>
    <col min="4610" max="4610" width="4.875" style="468" customWidth="1"/>
    <col min="4611" max="4611" width="32.625" style="468" customWidth="1"/>
    <col min="4612" max="4614" width="16.125" style="468" customWidth="1"/>
    <col min="4615" max="4864" width="9" style="468"/>
    <col min="4865" max="4865" width="6.625" style="468" customWidth="1"/>
    <col min="4866" max="4866" width="4.875" style="468" customWidth="1"/>
    <col min="4867" max="4867" width="32.625" style="468" customWidth="1"/>
    <col min="4868" max="4870" width="16.125" style="468" customWidth="1"/>
    <col min="4871" max="5120" width="9" style="468"/>
    <col min="5121" max="5121" width="6.625" style="468" customWidth="1"/>
    <col min="5122" max="5122" width="4.875" style="468" customWidth="1"/>
    <col min="5123" max="5123" width="32.625" style="468" customWidth="1"/>
    <col min="5124" max="5126" width="16.125" style="468" customWidth="1"/>
    <col min="5127" max="5376" width="9" style="468"/>
    <col min="5377" max="5377" width="6.625" style="468" customWidth="1"/>
    <col min="5378" max="5378" width="4.875" style="468" customWidth="1"/>
    <col min="5379" max="5379" width="32.625" style="468" customWidth="1"/>
    <col min="5380" max="5382" width="16.125" style="468" customWidth="1"/>
    <col min="5383" max="5632" width="9" style="468"/>
    <col min="5633" max="5633" width="6.625" style="468" customWidth="1"/>
    <col min="5634" max="5634" width="4.875" style="468" customWidth="1"/>
    <col min="5635" max="5635" width="32.625" style="468" customWidth="1"/>
    <col min="5636" max="5638" width="16.125" style="468" customWidth="1"/>
    <col min="5639" max="5888" width="9" style="468"/>
    <col min="5889" max="5889" width="6.625" style="468" customWidth="1"/>
    <col min="5890" max="5890" width="4.875" style="468" customWidth="1"/>
    <col min="5891" max="5891" width="32.625" style="468" customWidth="1"/>
    <col min="5892" max="5894" width="16.125" style="468" customWidth="1"/>
    <col min="5895" max="6144" width="9" style="468"/>
    <col min="6145" max="6145" width="6.625" style="468" customWidth="1"/>
    <col min="6146" max="6146" width="4.875" style="468" customWidth="1"/>
    <col min="6147" max="6147" width="32.625" style="468" customWidth="1"/>
    <col min="6148" max="6150" width="16.125" style="468" customWidth="1"/>
    <col min="6151" max="6400" width="9" style="468"/>
    <col min="6401" max="6401" width="6.625" style="468" customWidth="1"/>
    <col min="6402" max="6402" width="4.875" style="468" customWidth="1"/>
    <col min="6403" max="6403" width="32.625" style="468" customWidth="1"/>
    <col min="6404" max="6406" width="16.125" style="468" customWidth="1"/>
    <col min="6407" max="6656" width="9" style="468"/>
    <col min="6657" max="6657" width="6.625" style="468" customWidth="1"/>
    <col min="6658" max="6658" width="4.875" style="468" customWidth="1"/>
    <col min="6659" max="6659" width="32.625" style="468" customWidth="1"/>
    <col min="6660" max="6662" width="16.125" style="468" customWidth="1"/>
    <col min="6663" max="6912" width="9" style="468"/>
    <col min="6913" max="6913" width="6.625" style="468" customWidth="1"/>
    <col min="6914" max="6914" width="4.875" style="468" customWidth="1"/>
    <col min="6915" max="6915" width="32.625" style="468" customWidth="1"/>
    <col min="6916" max="6918" width="16.125" style="468" customWidth="1"/>
    <col min="6919" max="7168" width="9" style="468"/>
    <col min="7169" max="7169" width="6.625" style="468" customWidth="1"/>
    <col min="7170" max="7170" width="4.875" style="468" customWidth="1"/>
    <col min="7171" max="7171" width="32.625" style="468" customWidth="1"/>
    <col min="7172" max="7174" width="16.125" style="468" customWidth="1"/>
    <col min="7175" max="7424" width="9" style="468"/>
    <col min="7425" max="7425" width="6.625" style="468" customWidth="1"/>
    <col min="7426" max="7426" width="4.875" style="468" customWidth="1"/>
    <col min="7427" max="7427" width="32.625" style="468" customWidth="1"/>
    <col min="7428" max="7430" width="16.125" style="468" customWidth="1"/>
    <col min="7431" max="7680" width="9" style="468"/>
    <col min="7681" max="7681" width="6.625" style="468" customWidth="1"/>
    <col min="7682" max="7682" width="4.875" style="468" customWidth="1"/>
    <col min="7683" max="7683" width="32.625" style="468" customWidth="1"/>
    <col min="7684" max="7686" width="16.125" style="468" customWidth="1"/>
    <col min="7687" max="7936" width="9" style="468"/>
    <col min="7937" max="7937" width="6.625" style="468" customWidth="1"/>
    <col min="7938" max="7938" width="4.875" style="468" customWidth="1"/>
    <col min="7939" max="7939" width="32.625" style="468" customWidth="1"/>
    <col min="7940" max="7942" width="16.125" style="468" customWidth="1"/>
    <col min="7943" max="8192" width="9" style="468"/>
    <col min="8193" max="8193" width="6.625" style="468" customWidth="1"/>
    <col min="8194" max="8194" width="4.875" style="468" customWidth="1"/>
    <col min="8195" max="8195" width="32.625" style="468" customWidth="1"/>
    <col min="8196" max="8198" width="16.125" style="468" customWidth="1"/>
    <col min="8199" max="8448" width="9" style="468"/>
    <col min="8449" max="8449" width="6.625" style="468" customWidth="1"/>
    <col min="8450" max="8450" width="4.875" style="468" customWidth="1"/>
    <col min="8451" max="8451" width="32.625" style="468" customWidth="1"/>
    <col min="8452" max="8454" width="16.125" style="468" customWidth="1"/>
    <col min="8455" max="8704" width="9" style="468"/>
    <col min="8705" max="8705" width="6.625" style="468" customWidth="1"/>
    <col min="8706" max="8706" width="4.875" style="468" customWidth="1"/>
    <col min="8707" max="8707" width="32.625" style="468" customWidth="1"/>
    <col min="8708" max="8710" width="16.125" style="468" customWidth="1"/>
    <col min="8711" max="8960" width="9" style="468"/>
    <col min="8961" max="8961" width="6.625" style="468" customWidth="1"/>
    <col min="8962" max="8962" width="4.875" style="468" customWidth="1"/>
    <col min="8963" max="8963" width="32.625" style="468" customWidth="1"/>
    <col min="8964" max="8966" width="16.125" style="468" customWidth="1"/>
    <col min="8967" max="9216" width="9" style="468"/>
    <col min="9217" max="9217" width="6.625" style="468" customWidth="1"/>
    <col min="9218" max="9218" width="4.875" style="468" customWidth="1"/>
    <col min="9219" max="9219" width="32.625" style="468" customWidth="1"/>
    <col min="9220" max="9222" width="16.125" style="468" customWidth="1"/>
    <col min="9223" max="9472" width="9" style="468"/>
    <col min="9473" max="9473" width="6.625" style="468" customWidth="1"/>
    <col min="9474" max="9474" width="4.875" style="468" customWidth="1"/>
    <col min="9475" max="9475" width="32.625" style="468" customWidth="1"/>
    <col min="9476" max="9478" width="16.125" style="468" customWidth="1"/>
    <col min="9479" max="9728" width="9" style="468"/>
    <col min="9729" max="9729" width="6.625" style="468" customWidth="1"/>
    <col min="9730" max="9730" width="4.875" style="468" customWidth="1"/>
    <col min="9731" max="9731" width="32.625" style="468" customWidth="1"/>
    <col min="9732" max="9734" width="16.125" style="468" customWidth="1"/>
    <col min="9735" max="9984" width="9" style="468"/>
    <col min="9985" max="9985" width="6.625" style="468" customWidth="1"/>
    <col min="9986" max="9986" width="4.875" style="468" customWidth="1"/>
    <col min="9987" max="9987" width="32.625" style="468" customWidth="1"/>
    <col min="9988" max="9990" width="16.125" style="468" customWidth="1"/>
    <col min="9991" max="10240" width="9" style="468"/>
    <col min="10241" max="10241" width="6.625" style="468" customWidth="1"/>
    <col min="10242" max="10242" width="4.875" style="468" customWidth="1"/>
    <col min="10243" max="10243" width="32.625" style="468" customWidth="1"/>
    <col min="10244" max="10246" width="16.125" style="468" customWidth="1"/>
    <col min="10247" max="10496" width="9" style="468"/>
    <col min="10497" max="10497" width="6.625" style="468" customWidth="1"/>
    <col min="10498" max="10498" width="4.875" style="468" customWidth="1"/>
    <col min="10499" max="10499" width="32.625" style="468" customWidth="1"/>
    <col min="10500" max="10502" width="16.125" style="468" customWidth="1"/>
    <col min="10503" max="10752" width="9" style="468"/>
    <col min="10753" max="10753" width="6.625" style="468" customWidth="1"/>
    <col min="10754" max="10754" width="4.875" style="468" customWidth="1"/>
    <col min="10755" max="10755" width="32.625" style="468" customWidth="1"/>
    <col min="10756" max="10758" width="16.125" style="468" customWidth="1"/>
    <col min="10759" max="11008" width="9" style="468"/>
    <col min="11009" max="11009" width="6.625" style="468" customWidth="1"/>
    <col min="11010" max="11010" width="4.875" style="468" customWidth="1"/>
    <col min="11011" max="11011" width="32.625" style="468" customWidth="1"/>
    <col min="11012" max="11014" width="16.125" style="468" customWidth="1"/>
    <col min="11015" max="11264" width="9" style="468"/>
    <col min="11265" max="11265" width="6.625" style="468" customWidth="1"/>
    <col min="11266" max="11266" width="4.875" style="468" customWidth="1"/>
    <col min="11267" max="11267" width="32.625" style="468" customWidth="1"/>
    <col min="11268" max="11270" width="16.125" style="468" customWidth="1"/>
    <col min="11271" max="11520" width="9" style="468"/>
    <col min="11521" max="11521" width="6.625" style="468" customWidth="1"/>
    <col min="11522" max="11522" width="4.875" style="468" customWidth="1"/>
    <col min="11523" max="11523" width="32.625" style="468" customWidth="1"/>
    <col min="11524" max="11526" width="16.125" style="468" customWidth="1"/>
    <col min="11527" max="11776" width="9" style="468"/>
    <col min="11777" max="11777" width="6.625" style="468" customWidth="1"/>
    <col min="11778" max="11778" width="4.875" style="468" customWidth="1"/>
    <col min="11779" max="11779" width="32.625" style="468" customWidth="1"/>
    <col min="11780" max="11782" width="16.125" style="468" customWidth="1"/>
    <col min="11783" max="12032" width="9" style="468"/>
    <col min="12033" max="12033" width="6.625" style="468" customWidth="1"/>
    <col min="12034" max="12034" width="4.875" style="468" customWidth="1"/>
    <col min="12035" max="12035" width="32.625" style="468" customWidth="1"/>
    <col min="12036" max="12038" width="16.125" style="468" customWidth="1"/>
    <col min="12039" max="12288" width="9" style="468"/>
    <col min="12289" max="12289" width="6.625" style="468" customWidth="1"/>
    <col min="12290" max="12290" width="4.875" style="468" customWidth="1"/>
    <col min="12291" max="12291" width="32.625" style="468" customWidth="1"/>
    <col min="12292" max="12294" width="16.125" style="468" customWidth="1"/>
    <col min="12295" max="12544" width="9" style="468"/>
    <col min="12545" max="12545" width="6.625" style="468" customWidth="1"/>
    <col min="12546" max="12546" width="4.875" style="468" customWidth="1"/>
    <col min="12547" max="12547" width="32.625" style="468" customWidth="1"/>
    <col min="12548" max="12550" width="16.125" style="468" customWidth="1"/>
    <col min="12551" max="12800" width="9" style="468"/>
    <col min="12801" max="12801" width="6.625" style="468" customWidth="1"/>
    <col min="12802" max="12802" width="4.875" style="468" customWidth="1"/>
    <col min="12803" max="12803" width="32.625" style="468" customWidth="1"/>
    <col min="12804" max="12806" width="16.125" style="468" customWidth="1"/>
    <col min="12807" max="13056" width="9" style="468"/>
    <col min="13057" max="13057" width="6.625" style="468" customWidth="1"/>
    <col min="13058" max="13058" width="4.875" style="468" customWidth="1"/>
    <col min="13059" max="13059" width="32.625" style="468" customWidth="1"/>
    <col min="13060" max="13062" width="16.125" style="468" customWidth="1"/>
    <col min="13063" max="13312" width="9" style="468"/>
    <col min="13313" max="13313" width="6.625" style="468" customWidth="1"/>
    <col min="13314" max="13314" width="4.875" style="468" customWidth="1"/>
    <col min="13315" max="13315" width="32.625" style="468" customWidth="1"/>
    <col min="13316" max="13318" width="16.125" style="468" customWidth="1"/>
    <col min="13319" max="13568" width="9" style="468"/>
    <col min="13569" max="13569" width="6.625" style="468" customWidth="1"/>
    <col min="13570" max="13570" width="4.875" style="468" customWidth="1"/>
    <col min="13571" max="13571" width="32.625" style="468" customWidth="1"/>
    <col min="13572" max="13574" width="16.125" style="468" customWidth="1"/>
    <col min="13575" max="13824" width="9" style="468"/>
    <col min="13825" max="13825" width="6.625" style="468" customWidth="1"/>
    <col min="13826" max="13826" width="4.875" style="468" customWidth="1"/>
    <col min="13827" max="13827" width="32.625" style="468" customWidth="1"/>
    <col min="13828" max="13830" width="16.125" style="468" customWidth="1"/>
    <col min="13831" max="14080" width="9" style="468"/>
    <col min="14081" max="14081" width="6.625" style="468" customWidth="1"/>
    <col min="14082" max="14082" width="4.875" style="468" customWidth="1"/>
    <col min="14083" max="14083" width="32.625" style="468" customWidth="1"/>
    <col min="14084" max="14086" width="16.125" style="468" customWidth="1"/>
    <col min="14087" max="14336" width="9" style="468"/>
    <col min="14337" max="14337" width="6.625" style="468" customWidth="1"/>
    <col min="14338" max="14338" width="4.875" style="468" customWidth="1"/>
    <col min="14339" max="14339" width="32.625" style="468" customWidth="1"/>
    <col min="14340" max="14342" width="16.125" style="468" customWidth="1"/>
    <col min="14343" max="14592" width="9" style="468"/>
    <col min="14593" max="14593" width="6.625" style="468" customWidth="1"/>
    <col min="14594" max="14594" width="4.875" style="468" customWidth="1"/>
    <col min="14595" max="14595" width="32.625" style="468" customWidth="1"/>
    <col min="14596" max="14598" width="16.125" style="468" customWidth="1"/>
    <col min="14599" max="14848" width="9" style="468"/>
    <col min="14849" max="14849" width="6.625" style="468" customWidth="1"/>
    <col min="14850" max="14850" width="4.875" style="468" customWidth="1"/>
    <col min="14851" max="14851" width="32.625" style="468" customWidth="1"/>
    <col min="14852" max="14854" width="16.125" style="468" customWidth="1"/>
    <col min="14855" max="15104" width="9" style="468"/>
    <col min="15105" max="15105" width="6.625" style="468" customWidth="1"/>
    <col min="15106" max="15106" width="4.875" style="468" customWidth="1"/>
    <col min="15107" max="15107" width="32.625" style="468" customWidth="1"/>
    <col min="15108" max="15110" width="16.125" style="468" customWidth="1"/>
    <col min="15111" max="15360" width="9" style="468"/>
    <col min="15361" max="15361" width="6.625" style="468" customWidth="1"/>
    <col min="15362" max="15362" width="4.875" style="468" customWidth="1"/>
    <col min="15363" max="15363" width="32.625" style="468" customWidth="1"/>
    <col min="15364" max="15366" width="16.125" style="468" customWidth="1"/>
    <col min="15367" max="15616" width="9" style="468"/>
    <col min="15617" max="15617" width="6.625" style="468" customWidth="1"/>
    <col min="15618" max="15618" width="4.875" style="468" customWidth="1"/>
    <col min="15619" max="15619" width="32.625" style="468" customWidth="1"/>
    <col min="15620" max="15622" width="16.125" style="468" customWidth="1"/>
    <col min="15623" max="15872" width="9" style="468"/>
    <col min="15873" max="15873" width="6.625" style="468" customWidth="1"/>
    <col min="15874" max="15874" width="4.875" style="468" customWidth="1"/>
    <col min="15875" max="15875" width="32.625" style="468" customWidth="1"/>
    <col min="15876" max="15878" width="16.125" style="468" customWidth="1"/>
    <col min="15879" max="16128" width="9" style="468"/>
    <col min="16129" max="16129" width="6.625" style="468" customWidth="1"/>
    <col min="16130" max="16130" width="4.875" style="468" customWidth="1"/>
    <col min="16131" max="16131" width="32.625" style="468" customWidth="1"/>
    <col min="16132" max="16134" width="16.125" style="468" customWidth="1"/>
    <col min="16135" max="16384" width="9" style="468"/>
  </cols>
  <sheetData>
    <row r="1" spans="1:6">
      <c r="A1" s="466"/>
      <c r="B1" s="466"/>
      <c r="C1" s="466"/>
      <c r="D1" s="467"/>
      <c r="E1" s="143" t="s">
        <v>846</v>
      </c>
      <c r="F1" s="467"/>
    </row>
    <row r="2" spans="1:6">
      <c r="A2" s="466"/>
      <c r="B2" s="466"/>
      <c r="C2" s="466"/>
      <c r="D2" s="469"/>
      <c r="E2" s="143" t="s">
        <v>847</v>
      </c>
      <c r="F2" s="469"/>
    </row>
    <row r="3" spans="1:6" ht="16.5" customHeight="1">
      <c r="A3" s="470"/>
      <c r="B3" s="470"/>
      <c r="C3" s="470"/>
      <c r="D3" s="469"/>
      <c r="E3" s="471" t="s">
        <v>848</v>
      </c>
      <c r="F3" s="469"/>
    </row>
    <row r="4" spans="1:6" ht="11.25" customHeight="1">
      <c r="A4" s="470"/>
      <c r="B4" s="470"/>
      <c r="C4" s="470"/>
      <c r="D4" s="469"/>
      <c r="E4" s="469"/>
      <c r="F4" s="469"/>
    </row>
    <row r="5" spans="1:6" ht="26.25" customHeight="1">
      <c r="A5" s="928" t="s">
        <v>849</v>
      </c>
      <c r="B5" s="928"/>
      <c r="C5" s="928"/>
      <c r="D5" s="928"/>
      <c r="E5" s="928"/>
      <c r="F5" s="928"/>
    </row>
    <row r="6" spans="1:6">
      <c r="A6" s="929"/>
      <c r="B6" s="929"/>
      <c r="C6" s="929"/>
      <c r="D6" s="472"/>
      <c r="E6" s="472"/>
      <c r="F6" s="472" t="s">
        <v>0</v>
      </c>
    </row>
    <row r="7" spans="1:6">
      <c r="A7" s="930" t="s">
        <v>850</v>
      </c>
      <c r="B7" s="930" t="s">
        <v>2</v>
      </c>
      <c r="C7" s="931" t="s">
        <v>835</v>
      </c>
      <c r="D7" s="930" t="s">
        <v>511</v>
      </c>
      <c r="E7" s="932" t="s">
        <v>851</v>
      </c>
      <c r="F7" s="933" t="s">
        <v>509</v>
      </c>
    </row>
    <row r="8" spans="1:6">
      <c r="A8" s="930"/>
      <c r="B8" s="930"/>
      <c r="C8" s="931"/>
      <c r="D8" s="930"/>
      <c r="E8" s="932"/>
      <c r="F8" s="933"/>
    </row>
    <row r="9" spans="1:6">
      <c r="A9" s="473">
        <v>1</v>
      </c>
      <c r="B9" s="473">
        <v>2</v>
      </c>
      <c r="C9" s="474">
        <v>3</v>
      </c>
      <c r="D9" s="473">
        <v>4</v>
      </c>
      <c r="E9" s="475">
        <v>5</v>
      </c>
      <c r="F9" s="476">
        <v>6</v>
      </c>
    </row>
    <row r="10" spans="1:6">
      <c r="A10" s="477"/>
      <c r="B10" s="478"/>
      <c r="C10" s="478"/>
      <c r="D10" s="479"/>
      <c r="E10" s="479"/>
      <c r="F10" s="479"/>
    </row>
    <row r="11" spans="1:6" ht="21" customHeight="1">
      <c r="A11" s="480">
        <v>1</v>
      </c>
      <c r="B11" s="480"/>
      <c r="C11" s="481" t="s">
        <v>852</v>
      </c>
      <c r="D11" s="482">
        <f>D13+D12</f>
        <v>1262871459</v>
      </c>
      <c r="E11" s="482">
        <f>E13+E12</f>
        <v>101833079</v>
      </c>
      <c r="F11" s="482">
        <f>F13+F12</f>
        <v>1364704538</v>
      </c>
    </row>
    <row r="12" spans="1:6" ht="21" customHeight="1">
      <c r="A12" s="483" t="s">
        <v>853</v>
      </c>
      <c r="B12" s="483"/>
      <c r="C12" s="484" t="s">
        <v>854</v>
      </c>
      <c r="D12" s="485">
        <v>901239702</v>
      </c>
      <c r="E12" s="485">
        <v>29109472</v>
      </c>
      <c r="F12" s="485">
        <f>D12+E12</f>
        <v>930349174</v>
      </c>
    </row>
    <row r="13" spans="1:6" ht="21" customHeight="1">
      <c r="A13" s="483" t="s">
        <v>633</v>
      </c>
      <c r="B13" s="483"/>
      <c r="C13" s="484" t="s">
        <v>855</v>
      </c>
      <c r="D13" s="485">
        <v>361631757</v>
      </c>
      <c r="E13" s="485">
        <v>72723607</v>
      </c>
      <c r="F13" s="485">
        <f>D13+E13</f>
        <v>434355364</v>
      </c>
    </row>
    <row r="14" spans="1:6" ht="18.75" customHeight="1">
      <c r="A14" s="480">
        <v>2</v>
      </c>
      <c r="B14" s="480"/>
      <c r="C14" s="481" t="s">
        <v>856</v>
      </c>
      <c r="D14" s="482">
        <f>D15+D16+D19</f>
        <v>101743953</v>
      </c>
      <c r="E14" s="482">
        <f>E15+E16+E19</f>
        <v>61000000</v>
      </c>
      <c r="F14" s="482">
        <f>F15+F16+F19</f>
        <v>162743953</v>
      </c>
    </row>
    <row r="15" spans="1:6" ht="92.25" customHeight="1">
      <c r="A15" s="486" t="s">
        <v>729</v>
      </c>
      <c r="B15" s="487">
        <v>905</v>
      </c>
      <c r="C15" s="488" t="s">
        <v>857</v>
      </c>
      <c r="D15" s="489">
        <v>2000000</v>
      </c>
      <c r="E15" s="489">
        <v>0</v>
      </c>
      <c r="F15" s="489">
        <f>D15+E15</f>
        <v>2000000</v>
      </c>
    </row>
    <row r="16" spans="1:6" ht="18.75" customHeight="1">
      <c r="A16" s="486" t="s">
        <v>858</v>
      </c>
      <c r="B16" s="487">
        <v>952</v>
      </c>
      <c r="C16" s="490" t="s">
        <v>859</v>
      </c>
      <c r="D16" s="489">
        <f>D17+D18</f>
        <v>79938699</v>
      </c>
      <c r="E16" s="489">
        <f>E17+E18</f>
        <v>0</v>
      </c>
      <c r="F16" s="489">
        <f>F17+F18</f>
        <v>79938699</v>
      </c>
    </row>
    <row r="17" spans="1:6" ht="20.25" customHeight="1">
      <c r="A17" s="491" t="s">
        <v>860</v>
      </c>
      <c r="B17" s="473"/>
      <c r="C17" s="492" t="s">
        <v>861</v>
      </c>
      <c r="D17" s="493">
        <v>7638699</v>
      </c>
      <c r="E17" s="493">
        <v>0</v>
      </c>
      <c r="F17" s="493">
        <f>D17+E17</f>
        <v>7638699</v>
      </c>
    </row>
    <row r="18" spans="1:6" ht="30" customHeight="1">
      <c r="A18" s="491" t="s">
        <v>862</v>
      </c>
      <c r="B18" s="473"/>
      <c r="C18" s="492" t="s">
        <v>863</v>
      </c>
      <c r="D18" s="493">
        <v>72300000</v>
      </c>
      <c r="E18" s="493">
        <v>0</v>
      </c>
      <c r="F18" s="493">
        <f>D18+E18</f>
        <v>72300000</v>
      </c>
    </row>
    <row r="19" spans="1:6" ht="34.5" customHeight="1">
      <c r="A19" s="486" t="s">
        <v>864</v>
      </c>
      <c r="B19" s="487">
        <v>950</v>
      </c>
      <c r="C19" s="490" t="s">
        <v>865</v>
      </c>
      <c r="D19" s="489">
        <f>D20+D21</f>
        <v>19805254</v>
      </c>
      <c r="E19" s="489">
        <f>E20+E21</f>
        <v>61000000</v>
      </c>
      <c r="F19" s="489">
        <f>D19+E19</f>
        <v>80805254</v>
      </c>
    </row>
    <row r="20" spans="1:6" ht="27" customHeight="1">
      <c r="A20" s="491" t="s">
        <v>866</v>
      </c>
      <c r="B20" s="473"/>
      <c r="C20" s="492" t="s">
        <v>867</v>
      </c>
      <c r="D20" s="493">
        <v>19805254</v>
      </c>
      <c r="E20" s="493">
        <v>0</v>
      </c>
      <c r="F20" s="493">
        <f>D20+E20</f>
        <v>19805254</v>
      </c>
    </row>
    <row r="21" spans="1:6" ht="30" customHeight="1">
      <c r="A21" s="491" t="s">
        <v>868</v>
      </c>
      <c r="B21" s="473"/>
      <c r="C21" s="492" t="s">
        <v>869</v>
      </c>
      <c r="D21" s="493">
        <v>0</v>
      </c>
      <c r="E21" s="493">
        <v>61000000</v>
      </c>
      <c r="F21" s="493">
        <f>D21+E21</f>
        <v>61000000</v>
      </c>
    </row>
    <row r="22" spans="1:6" ht="20.25" customHeight="1">
      <c r="A22" s="494">
        <v>3</v>
      </c>
      <c r="B22" s="494"/>
      <c r="C22" s="495" t="s">
        <v>870</v>
      </c>
      <c r="D22" s="496">
        <f>D11+D14</f>
        <v>1364615412</v>
      </c>
      <c r="E22" s="496">
        <f>E11+E14</f>
        <v>162833079</v>
      </c>
      <c r="F22" s="496">
        <f>F11+F14</f>
        <v>1527448491</v>
      </c>
    </row>
    <row r="23" spans="1:6" ht="9.75" customHeight="1">
      <c r="A23" s="497"/>
      <c r="B23" s="498"/>
      <c r="C23" s="499"/>
      <c r="D23" s="500"/>
      <c r="E23" s="500"/>
      <c r="F23" s="500"/>
    </row>
    <row r="24" spans="1:6" ht="23.25" customHeight="1">
      <c r="A24" s="501">
        <v>4</v>
      </c>
      <c r="B24" s="501"/>
      <c r="C24" s="502" t="s">
        <v>871</v>
      </c>
      <c r="D24" s="482">
        <f>D25+D28</f>
        <v>1337171459</v>
      </c>
      <c r="E24" s="482">
        <f>E25+E28</f>
        <v>162833079</v>
      </c>
      <c r="F24" s="482">
        <f>F25+F28</f>
        <v>1500004538</v>
      </c>
    </row>
    <row r="25" spans="1:6" ht="21" customHeight="1">
      <c r="A25" s="483" t="s">
        <v>872</v>
      </c>
      <c r="B25" s="483"/>
      <c r="C25" s="484" t="s">
        <v>873</v>
      </c>
      <c r="D25" s="485">
        <f>D26+D27</f>
        <v>798309013</v>
      </c>
      <c r="E25" s="485">
        <f>E26+E27</f>
        <v>45392395</v>
      </c>
      <c r="F25" s="485">
        <f>F26+F27</f>
        <v>843701408</v>
      </c>
    </row>
    <row r="26" spans="1:6" ht="31.5" customHeight="1">
      <c r="A26" s="503" t="s">
        <v>874</v>
      </c>
      <c r="B26" s="503"/>
      <c r="C26" s="504" t="s">
        <v>875</v>
      </c>
      <c r="D26" s="505">
        <v>755691318</v>
      </c>
      <c r="E26" s="505">
        <v>45392395</v>
      </c>
      <c r="F26" s="505">
        <f>D26+E26</f>
        <v>801083713</v>
      </c>
    </row>
    <row r="27" spans="1:6" ht="31.5" customHeight="1">
      <c r="A27" s="503" t="s">
        <v>718</v>
      </c>
      <c r="B27" s="503"/>
      <c r="C27" s="504" t="s">
        <v>876</v>
      </c>
      <c r="D27" s="505">
        <v>42617695</v>
      </c>
      <c r="E27" s="505">
        <v>0</v>
      </c>
      <c r="F27" s="505">
        <f>D27+E27</f>
        <v>42617695</v>
      </c>
    </row>
    <row r="28" spans="1:6" ht="20.25" customHeight="1">
      <c r="A28" s="483" t="s">
        <v>652</v>
      </c>
      <c r="B28" s="483"/>
      <c r="C28" s="484" t="s">
        <v>877</v>
      </c>
      <c r="D28" s="485">
        <v>538862446</v>
      </c>
      <c r="E28" s="485">
        <v>117440684</v>
      </c>
      <c r="F28" s="485">
        <f>D28+E28</f>
        <v>656303130</v>
      </c>
    </row>
    <row r="29" spans="1:6" ht="24" customHeight="1">
      <c r="A29" s="480">
        <v>5</v>
      </c>
      <c r="B29" s="480"/>
      <c r="C29" s="481" t="s">
        <v>878</v>
      </c>
      <c r="D29" s="482">
        <f>D30</f>
        <v>27443953</v>
      </c>
      <c r="E29" s="482">
        <f>E30</f>
        <v>0</v>
      </c>
      <c r="F29" s="482">
        <f>F30</f>
        <v>27443953</v>
      </c>
    </row>
    <row r="30" spans="1:6" ht="23.25" customHeight="1">
      <c r="A30" s="506" t="s">
        <v>879</v>
      </c>
      <c r="B30" s="506">
        <v>992</v>
      </c>
      <c r="C30" s="507" t="s">
        <v>880</v>
      </c>
      <c r="D30" s="489">
        <v>27443953</v>
      </c>
      <c r="E30" s="489">
        <v>0</v>
      </c>
      <c r="F30" s="489">
        <f>D30+E30</f>
        <v>27443953</v>
      </c>
    </row>
    <row r="31" spans="1:6" ht="19.5" customHeight="1">
      <c r="A31" s="494">
        <v>6</v>
      </c>
      <c r="B31" s="494"/>
      <c r="C31" s="495" t="s">
        <v>881</v>
      </c>
      <c r="D31" s="496">
        <f>D24+D29</f>
        <v>1364615412</v>
      </c>
      <c r="E31" s="496">
        <f>E24+E29</f>
        <v>162833079</v>
      </c>
      <c r="F31" s="496">
        <f>F24+F29</f>
        <v>1527448491</v>
      </c>
    </row>
    <row r="32" spans="1:6">
      <c r="A32" s="508"/>
      <c r="B32" s="509"/>
      <c r="C32" s="510"/>
      <c r="D32" s="511"/>
      <c r="E32" s="511"/>
      <c r="F32" s="511"/>
    </row>
    <row r="33" spans="1:6" ht="22.5" customHeight="1">
      <c r="A33" s="480">
        <v>7</v>
      </c>
      <c r="B33" s="480"/>
      <c r="C33" s="481" t="s">
        <v>882</v>
      </c>
      <c r="D33" s="496">
        <f>D22-D31</f>
        <v>0</v>
      </c>
      <c r="E33" s="496">
        <f>E22-E31</f>
        <v>0</v>
      </c>
      <c r="F33" s="496">
        <f>F22-F31</f>
        <v>0</v>
      </c>
    </row>
    <row r="34" spans="1:6" ht="11.25" customHeight="1">
      <c r="A34" s="512"/>
      <c r="B34" s="513"/>
      <c r="C34" s="514"/>
      <c r="D34" s="500"/>
      <c r="E34" s="500"/>
      <c r="F34" s="500"/>
    </row>
    <row r="35" spans="1:6" ht="23.25" customHeight="1">
      <c r="A35" s="480">
        <v>8</v>
      </c>
      <c r="B35" s="480"/>
      <c r="C35" s="481" t="s">
        <v>883</v>
      </c>
      <c r="D35" s="482">
        <f>D11-D24</f>
        <v>-74300000</v>
      </c>
      <c r="E35" s="482">
        <f>E11-E24</f>
        <v>-61000000</v>
      </c>
      <c r="F35" s="482">
        <f>F11-F24</f>
        <v>-135300000</v>
      </c>
    </row>
    <row r="36" spans="1:6">
      <c r="A36" s="512"/>
      <c r="B36" s="513"/>
      <c r="C36" s="514"/>
      <c r="D36" s="500"/>
      <c r="E36" s="500"/>
      <c r="F36" s="500"/>
    </row>
    <row r="37" spans="1:6" ht="21" customHeight="1">
      <c r="A37" s="515">
        <v>9</v>
      </c>
      <c r="B37" s="515"/>
      <c r="C37" s="516" t="s">
        <v>884</v>
      </c>
      <c r="D37" s="517">
        <f>D38+D39+D40</f>
        <v>74300000</v>
      </c>
      <c r="E37" s="517">
        <f>E38+E39+E40</f>
        <v>61000000</v>
      </c>
      <c r="F37" s="517">
        <f>F38+F39+F40</f>
        <v>135300000</v>
      </c>
    </row>
    <row r="38" spans="1:6" ht="88.5" customHeight="1">
      <c r="A38" s="518" t="s">
        <v>885</v>
      </c>
      <c r="B38" s="506"/>
      <c r="C38" s="488" t="s">
        <v>857</v>
      </c>
      <c r="D38" s="493">
        <f>D15</f>
        <v>2000000</v>
      </c>
      <c r="E38" s="493">
        <f>E15</f>
        <v>0</v>
      </c>
      <c r="F38" s="493">
        <f>D38+E38</f>
        <v>2000000</v>
      </c>
    </row>
    <row r="39" spans="1:6" ht="18.75" customHeight="1">
      <c r="A39" s="518" t="s">
        <v>886</v>
      </c>
      <c r="B39" s="506"/>
      <c r="C39" s="507" t="s">
        <v>887</v>
      </c>
      <c r="D39" s="493">
        <f>D18</f>
        <v>72300000</v>
      </c>
      <c r="E39" s="493">
        <f>E18</f>
        <v>0</v>
      </c>
      <c r="F39" s="493">
        <f>D39+E39</f>
        <v>72300000</v>
      </c>
    </row>
    <row r="40" spans="1:6" ht="30" customHeight="1">
      <c r="A40" s="519" t="s">
        <v>888</v>
      </c>
      <c r="B40" s="520"/>
      <c r="C40" s="490" t="s">
        <v>865</v>
      </c>
      <c r="D40" s="521">
        <v>0</v>
      </c>
      <c r="E40" s="521">
        <f>E21</f>
        <v>61000000</v>
      </c>
      <c r="F40" s="493">
        <f>D40+E40</f>
        <v>61000000</v>
      </c>
    </row>
    <row r="41" spans="1:6" ht="7.5" customHeight="1">
      <c r="A41" s="522"/>
      <c r="B41" s="523"/>
      <c r="C41" s="524"/>
      <c r="D41" s="525"/>
      <c r="E41" s="525"/>
      <c r="F41" s="525"/>
    </row>
    <row r="42" spans="1:6" ht="15">
      <c r="A42" s="934" t="s">
        <v>889</v>
      </c>
      <c r="B42" s="934"/>
      <c r="C42" s="934"/>
      <c r="D42" s="526"/>
      <c r="E42" s="526"/>
      <c r="F42" s="526"/>
    </row>
    <row r="43" spans="1:6">
      <c r="A43" s="927" t="s">
        <v>890</v>
      </c>
      <c r="B43" s="927"/>
      <c r="C43" s="927"/>
      <c r="D43" s="527">
        <f>D12</f>
        <v>901239702</v>
      </c>
      <c r="E43" s="527">
        <f>E12</f>
        <v>29109472</v>
      </c>
      <c r="F43" s="527">
        <f>F12</f>
        <v>930349174</v>
      </c>
    </row>
    <row r="44" spans="1:6">
      <c r="A44" s="927" t="s">
        <v>891</v>
      </c>
      <c r="B44" s="927"/>
      <c r="C44" s="927"/>
      <c r="D44" s="527">
        <f>D25</f>
        <v>798309013</v>
      </c>
      <c r="E44" s="527">
        <f>E25</f>
        <v>45392395</v>
      </c>
      <c r="F44" s="527">
        <f>F25</f>
        <v>843701408</v>
      </c>
    </row>
    <row r="45" spans="1:6" ht="15">
      <c r="A45" s="935" t="s">
        <v>892</v>
      </c>
      <c r="B45" s="935"/>
      <c r="C45" s="935"/>
      <c r="D45" s="528">
        <f>D43-D44</f>
        <v>102930689</v>
      </c>
      <c r="E45" s="528">
        <f>E43-E44</f>
        <v>-16282923</v>
      </c>
      <c r="F45" s="528">
        <f>F43-F44</f>
        <v>86647766</v>
      </c>
    </row>
    <row r="46" spans="1:6" ht="6.75" customHeight="1">
      <c r="A46" s="529"/>
      <c r="B46" s="530"/>
      <c r="C46" s="531"/>
      <c r="D46" s="528"/>
      <c r="E46" s="528"/>
      <c r="F46" s="528"/>
    </row>
    <row r="47" spans="1:6" ht="11.25" customHeight="1">
      <c r="A47" s="532"/>
      <c r="B47" s="533"/>
      <c r="C47" s="534"/>
      <c r="D47" s="535"/>
      <c r="E47" s="535"/>
      <c r="F47" s="535"/>
    </row>
    <row r="48" spans="1:6" ht="16.5" customHeight="1">
      <c r="A48" s="936" t="s">
        <v>893</v>
      </c>
      <c r="B48" s="936"/>
      <c r="C48" s="936"/>
      <c r="D48" s="536">
        <f>D11</f>
        <v>1262871459</v>
      </c>
      <c r="E48" s="536">
        <f>E11</f>
        <v>101833079</v>
      </c>
      <c r="F48" s="536">
        <f>F11</f>
        <v>1364704538</v>
      </c>
    </row>
    <row r="49" spans="1:6">
      <c r="A49" s="927" t="s">
        <v>894</v>
      </c>
      <c r="B49" s="927"/>
      <c r="C49" s="927"/>
      <c r="D49" s="527">
        <f>D26</f>
        <v>755691318</v>
      </c>
      <c r="E49" s="527">
        <f>E26</f>
        <v>45392395</v>
      </c>
      <c r="F49" s="527">
        <f>F26</f>
        <v>801083713</v>
      </c>
    </row>
    <row r="50" spans="1:6" ht="28.5" customHeight="1">
      <c r="A50" s="927" t="s">
        <v>895</v>
      </c>
      <c r="B50" s="927"/>
      <c r="C50" s="927"/>
      <c r="D50" s="527">
        <f>D19+D15</f>
        <v>21805254</v>
      </c>
      <c r="E50" s="527">
        <f>E19+E15</f>
        <v>61000000</v>
      </c>
      <c r="F50" s="527">
        <f>F19+F15</f>
        <v>82805254</v>
      </c>
    </row>
    <row r="51" spans="1:6" ht="30" customHeight="1">
      <c r="A51" s="936" t="s">
        <v>896</v>
      </c>
      <c r="B51" s="936"/>
      <c r="C51" s="936"/>
      <c r="D51" s="527">
        <f>D48-D49+D50</f>
        <v>528985395</v>
      </c>
      <c r="E51" s="527">
        <f>E48-E49+E50</f>
        <v>117440684</v>
      </c>
      <c r="F51" s="527">
        <f>F48-F49+F50</f>
        <v>646426079</v>
      </c>
    </row>
    <row r="52" spans="1:6" ht="29.25" customHeight="1">
      <c r="A52" s="927" t="s">
        <v>897</v>
      </c>
      <c r="B52" s="927"/>
      <c r="C52" s="927"/>
      <c r="D52" s="527">
        <f>D27+D30</f>
        <v>70061648</v>
      </c>
      <c r="E52" s="527">
        <f>E27+E30</f>
        <v>0</v>
      </c>
      <c r="F52" s="527">
        <f>F27+F30</f>
        <v>70061648</v>
      </c>
    </row>
    <row r="53" spans="1:6">
      <c r="A53" s="936" t="s">
        <v>898</v>
      </c>
      <c r="B53" s="936"/>
      <c r="C53" s="936"/>
      <c r="D53" s="527">
        <f>D51-D52</f>
        <v>458923747</v>
      </c>
      <c r="E53" s="527">
        <f>E51-E52</f>
        <v>117440684</v>
      </c>
      <c r="F53" s="527">
        <f>F51-F52</f>
        <v>576364431</v>
      </c>
    </row>
    <row r="54" spans="1:6">
      <c r="A54" s="927" t="s">
        <v>899</v>
      </c>
      <c r="B54" s="927"/>
      <c r="C54" s="927"/>
      <c r="D54" s="527">
        <f>D28</f>
        <v>538862446</v>
      </c>
      <c r="E54" s="527">
        <f>E28</f>
        <v>117440684</v>
      </c>
      <c r="F54" s="527">
        <f>F28</f>
        <v>656303130</v>
      </c>
    </row>
    <row r="55" spans="1:6">
      <c r="A55" s="936" t="s">
        <v>900</v>
      </c>
      <c r="B55" s="936"/>
      <c r="C55" s="936"/>
      <c r="D55" s="527">
        <f>D53-D54</f>
        <v>-79938699</v>
      </c>
      <c r="E55" s="527">
        <f>E53-E54</f>
        <v>0</v>
      </c>
      <c r="F55" s="527">
        <f>F53-F54</f>
        <v>-79938699</v>
      </c>
    </row>
    <row r="56" spans="1:6">
      <c r="A56" s="927" t="s">
        <v>901</v>
      </c>
      <c r="B56" s="927"/>
      <c r="C56" s="927"/>
      <c r="D56" s="527">
        <f>D16</f>
        <v>79938699</v>
      </c>
      <c r="E56" s="527">
        <f>E16</f>
        <v>0</v>
      </c>
      <c r="F56" s="527">
        <f>F16</f>
        <v>79938699</v>
      </c>
    </row>
    <row r="57" spans="1:6" ht="14.25" hidden="1" customHeight="1">
      <c r="A57" s="927" t="s">
        <v>902</v>
      </c>
      <c r="B57" s="927"/>
      <c r="C57" s="927"/>
      <c r="D57" s="527">
        <v>0</v>
      </c>
      <c r="E57" s="527">
        <v>0</v>
      </c>
      <c r="F57" s="527">
        <v>0</v>
      </c>
    </row>
    <row r="58" spans="1:6" ht="14.25" hidden="1" customHeight="1">
      <c r="A58" s="927" t="s">
        <v>903</v>
      </c>
      <c r="B58" s="927"/>
      <c r="C58" s="927"/>
      <c r="D58" s="527">
        <v>0</v>
      </c>
      <c r="E58" s="527">
        <v>0</v>
      </c>
      <c r="F58" s="527">
        <v>0</v>
      </c>
    </row>
    <row r="59" spans="1:6">
      <c r="A59" s="937" t="s">
        <v>904</v>
      </c>
      <c r="B59" s="937"/>
      <c r="C59" s="937"/>
      <c r="D59" s="537">
        <f>D55+D56-D57+D58</f>
        <v>0</v>
      </c>
      <c r="E59" s="537">
        <f>E55+E56-E57+E58</f>
        <v>0</v>
      </c>
      <c r="F59" s="537">
        <f>F55+F56-F57+F58</f>
        <v>0</v>
      </c>
    </row>
  </sheetData>
  <sheetProtection password="C25B" sheet="1" objects="1" scenarios="1"/>
  <mergeCells count="24">
    <mergeCell ref="A56:C56"/>
    <mergeCell ref="A57:C57"/>
    <mergeCell ref="A58:C58"/>
    <mergeCell ref="A59:C59"/>
    <mergeCell ref="A50:C50"/>
    <mergeCell ref="A51:C51"/>
    <mergeCell ref="A52:C52"/>
    <mergeCell ref="A53:C53"/>
    <mergeCell ref="A54:C54"/>
    <mergeCell ref="A55:C55"/>
    <mergeCell ref="A49:C49"/>
    <mergeCell ref="A5:F5"/>
    <mergeCell ref="A6:C6"/>
    <mergeCell ref="A7:A8"/>
    <mergeCell ref="B7:B8"/>
    <mergeCell ref="C7:C8"/>
    <mergeCell ref="D7:D8"/>
    <mergeCell ref="E7:E8"/>
    <mergeCell ref="F7:F8"/>
    <mergeCell ref="A42:C42"/>
    <mergeCell ref="A43:C43"/>
    <mergeCell ref="A44:C44"/>
    <mergeCell ref="A45:C45"/>
    <mergeCell ref="A48:C4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51"/>
  <sheetViews>
    <sheetView view="pageBreakPreview" topLeftCell="E350" zoomScaleSheetLayoutView="100" workbookViewId="0">
      <selection activeCell="H382" sqref="H382"/>
    </sheetView>
  </sheetViews>
  <sheetFormatPr defaultColWidth="9" defaultRowHeight="15"/>
  <cols>
    <col min="1" max="1" width="5.375" style="560" customWidth="1"/>
    <col min="2" max="2" width="8.125" style="560" customWidth="1"/>
    <col min="3" max="3" width="9.375" style="560" customWidth="1"/>
    <col min="4" max="4" width="44.125" style="560" customWidth="1"/>
    <col min="5" max="5" width="11.25" style="560" customWidth="1"/>
    <col min="6" max="6" width="9.75" style="560" customWidth="1"/>
    <col min="7" max="7" width="11" style="560" customWidth="1"/>
    <col min="8" max="9" width="14.25" style="560" customWidth="1"/>
    <col min="10" max="10" width="2.75" style="560" customWidth="1"/>
    <col min="11" max="11" width="11.375" style="560" customWidth="1"/>
    <col min="12" max="12" width="11.25" style="560" customWidth="1"/>
    <col min="13" max="13" width="10.75" style="560" customWidth="1"/>
    <col min="14" max="14" width="10.875" style="560" customWidth="1"/>
    <col min="15" max="15" width="11.25" style="560" customWidth="1"/>
    <col min="16" max="16" width="11.375" style="560" customWidth="1"/>
    <col min="17" max="20" width="11.125" style="560" customWidth="1"/>
    <col min="21" max="21" width="10.75" style="560" customWidth="1"/>
    <col min="22" max="22" width="11" style="560" customWidth="1"/>
    <col min="23" max="23" width="10.75" style="560" customWidth="1"/>
    <col min="24" max="24" width="10.5" style="560" customWidth="1"/>
    <col min="25" max="16384" width="9" style="560"/>
  </cols>
  <sheetData>
    <row r="1" spans="1:25" s="539" customFormat="1" ht="15" customHeight="1">
      <c r="A1" s="538" t="s">
        <v>382</v>
      </c>
      <c r="U1" s="540" t="s">
        <v>905</v>
      </c>
      <c r="V1" s="540"/>
    </row>
    <row r="2" spans="1:25" s="539" customFormat="1" ht="15" customHeight="1">
      <c r="A2" s="538"/>
      <c r="U2" s="540" t="s">
        <v>906</v>
      </c>
      <c r="V2" s="540"/>
    </row>
    <row r="3" spans="1:25" s="539" customFormat="1" ht="15" customHeight="1">
      <c r="A3" s="538"/>
      <c r="U3" s="540" t="s">
        <v>1113</v>
      </c>
      <c r="V3" s="540"/>
    </row>
    <row r="4" spans="1:25" s="539" customFormat="1" ht="3" customHeight="1">
      <c r="A4" s="538"/>
    </row>
    <row r="5" spans="1:25" s="539" customFormat="1" ht="42.75" customHeight="1">
      <c r="A5" s="938" t="s">
        <v>907</v>
      </c>
      <c r="B5" s="938"/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</row>
    <row r="6" spans="1:25" s="542" customFormat="1" ht="12.75" customHeight="1">
      <c r="A6" s="541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X6" s="543" t="s">
        <v>0</v>
      </c>
    </row>
    <row r="7" spans="1:25" s="542" customFormat="1" ht="19.5" customHeight="1">
      <c r="A7" s="939" t="s">
        <v>908</v>
      </c>
      <c r="B7" s="942" t="s">
        <v>783</v>
      </c>
      <c r="C7" s="942" t="s">
        <v>909</v>
      </c>
      <c r="D7" s="945" t="s">
        <v>910</v>
      </c>
      <c r="E7" s="945" t="s">
        <v>911</v>
      </c>
      <c r="F7" s="942" t="s">
        <v>912</v>
      </c>
      <c r="G7" s="945" t="s">
        <v>224</v>
      </c>
      <c r="H7" s="948" t="s">
        <v>913</v>
      </c>
      <c r="I7" s="949" t="s">
        <v>914</v>
      </c>
      <c r="J7" s="965" t="s">
        <v>11</v>
      </c>
      <c r="K7" s="968" t="s">
        <v>915</v>
      </c>
      <c r="L7" s="968"/>
      <c r="M7" s="968"/>
      <c r="N7" s="968"/>
      <c r="O7" s="968"/>
      <c r="P7" s="968"/>
      <c r="Q7" s="968"/>
      <c r="R7" s="968"/>
      <c r="S7" s="968"/>
      <c r="T7" s="968"/>
      <c r="U7" s="968"/>
      <c r="V7" s="968"/>
      <c r="W7" s="968"/>
      <c r="X7" s="968"/>
    </row>
    <row r="8" spans="1:25" s="544" customFormat="1" ht="18.75" customHeight="1">
      <c r="A8" s="940"/>
      <c r="B8" s="943"/>
      <c r="C8" s="943"/>
      <c r="D8" s="946"/>
      <c r="E8" s="946"/>
      <c r="F8" s="943"/>
      <c r="G8" s="946"/>
      <c r="H8" s="948"/>
      <c r="I8" s="949"/>
      <c r="J8" s="966"/>
      <c r="K8" s="968"/>
      <c r="L8" s="968"/>
      <c r="M8" s="968"/>
      <c r="N8" s="968"/>
      <c r="O8" s="968"/>
      <c r="P8" s="968"/>
      <c r="Q8" s="968"/>
      <c r="R8" s="968"/>
      <c r="S8" s="968"/>
      <c r="T8" s="968"/>
      <c r="U8" s="968"/>
      <c r="V8" s="968"/>
      <c r="W8" s="968"/>
      <c r="X8" s="968"/>
    </row>
    <row r="9" spans="1:25" s="544" customFormat="1" ht="15.75" customHeight="1">
      <c r="A9" s="940"/>
      <c r="B9" s="943"/>
      <c r="C9" s="943"/>
      <c r="D9" s="946"/>
      <c r="E9" s="946"/>
      <c r="F9" s="943"/>
      <c r="G9" s="946"/>
      <c r="H9" s="797" t="s">
        <v>916</v>
      </c>
      <c r="I9" s="797" t="s">
        <v>916</v>
      </c>
      <c r="J9" s="966"/>
      <c r="K9" s="968" t="s">
        <v>917</v>
      </c>
      <c r="L9" s="969" t="s">
        <v>918</v>
      </c>
      <c r="M9" s="969"/>
      <c r="N9" s="969"/>
      <c r="O9" s="962" t="s">
        <v>919</v>
      </c>
      <c r="P9" s="969" t="s">
        <v>920</v>
      </c>
      <c r="Q9" s="969"/>
      <c r="R9" s="969"/>
      <c r="S9" s="969"/>
      <c r="T9" s="969"/>
      <c r="U9" s="969"/>
      <c r="V9" s="969"/>
      <c r="W9" s="969"/>
      <c r="X9" s="969"/>
    </row>
    <row r="10" spans="1:25" s="544" customFormat="1" ht="12.75" customHeight="1">
      <c r="A10" s="940"/>
      <c r="B10" s="943"/>
      <c r="C10" s="943"/>
      <c r="D10" s="946"/>
      <c r="E10" s="946"/>
      <c r="F10" s="943"/>
      <c r="G10" s="946"/>
      <c r="H10" s="797" t="s">
        <v>921</v>
      </c>
      <c r="I10" s="797" t="s">
        <v>921</v>
      </c>
      <c r="J10" s="966"/>
      <c r="K10" s="968"/>
      <c r="L10" s="969"/>
      <c r="M10" s="969"/>
      <c r="N10" s="969"/>
      <c r="O10" s="962"/>
      <c r="P10" s="960" t="s">
        <v>922</v>
      </c>
      <c r="Q10" s="960"/>
      <c r="R10" s="960"/>
      <c r="S10" s="960" t="s">
        <v>923</v>
      </c>
      <c r="T10" s="960"/>
      <c r="U10" s="960"/>
      <c r="V10" s="962" t="s">
        <v>924</v>
      </c>
      <c r="W10" s="962"/>
      <c r="X10" s="962"/>
    </row>
    <row r="11" spans="1:25" s="544" customFormat="1" ht="12.75">
      <c r="A11" s="940"/>
      <c r="B11" s="943"/>
      <c r="C11" s="943"/>
      <c r="D11" s="946"/>
      <c r="E11" s="946"/>
      <c r="F11" s="943"/>
      <c r="G11" s="946"/>
      <c r="H11" s="797" t="s">
        <v>925</v>
      </c>
      <c r="I11" s="797" t="s">
        <v>925</v>
      </c>
      <c r="J11" s="966"/>
      <c r="K11" s="968"/>
      <c r="L11" s="960" t="s">
        <v>79</v>
      </c>
      <c r="M11" s="960" t="s">
        <v>926</v>
      </c>
      <c r="N11" s="960" t="s">
        <v>927</v>
      </c>
      <c r="O11" s="962"/>
      <c r="P11" s="960" t="s">
        <v>79</v>
      </c>
      <c r="Q11" s="960" t="s">
        <v>928</v>
      </c>
      <c r="R11" s="964" t="s">
        <v>927</v>
      </c>
      <c r="S11" s="960" t="s">
        <v>79</v>
      </c>
      <c r="T11" s="960" t="s">
        <v>928</v>
      </c>
      <c r="U11" s="961" t="s">
        <v>927</v>
      </c>
      <c r="V11" s="962" t="s">
        <v>929</v>
      </c>
      <c r="W11" s="960" t="s">
        <v>928</v>
      </c>
      <c r="X11" s="961" t="s">
        <v>927</v>
      </c>
    </row>
    <row r="12" spans="1:25" s="544" customFormat="1" ht="12.75">
      <c r="A12" s="941"/>
      <c r="B12" s="944"/>
      <c r="C12" s="944"/>
      <c r="D12" s="947"/>
      <c r="E12" s="947"/>
      <c r="F12" s="944"/>
      <c r="G12" s="947"/>
      <c r="H12" s="797" t="s">
        <v>924</v>
      </c>
      <c r="I12" s="797" t="s">
        <v>924</v>
      </c>
      <c r="J12" s="967"/>
      <c r="K12" s="968"/>
      <c r="L12" s="960"/>
      <c r="M12" s="960"/>
      <c r="N12" s="960"/>
      <c r="O12" s="962"/>
      <c r="P12" s="960"/>
      <c r="Q12" s="960"/>
      <c r="R12" s="964"/>
      <c r="S12" s="960"/>
      <c r="T12" s="960"/>
      <c r="U12" s="961"/>
      <c r="V12" s="962"/>
      <c r="W12" s="960"/>
      <c r="X12" s="961"/>
    </row>
    <row r="13" spans="1:25" s="545" customFormat="1" ht="11.25">
      <c r="A13" s="798">
        <v>1</v>
      </c>
      <c r="B13" s="798">
        <v>2</v>
      </c>
      <c r="C13" s="798">
        <v>3</v>
      </c>
      <c r="D13" s="798">
        <v>4</v>
      </c>
      <c r="E13" s="798">
        <v>5</v>
      </c>
      <c r="F13" s="798">
        <v>6</v>
      </c>
      <c r="G13" s="798">
        <v>7</v>
      </c>
      <c r="H13" s="798">
        <v>8</v>
      </c>
      <c r="I13" s="798" t="s">
        <v>930</v>
      </c>
      <c r="J13" s="798" t="s">
        <v>931</v>
      </c>
      <c r="K13" s="798" t="s">
        <v>932</v>
      </c>
      <c r="L13" s="798" t="s">
        <v>933</v>
      </c>
      <c r="M13" s="798">
        <v>11</v>
      </c>
      <c r="N13" s="798">
        <v>12</v>
      </c>
      <c r="O13" s="798" t="s">
        <v>934</v>
      </c>
      <c r="P13" s="798" t="s">
        <v>935</v>
      </c>
      <c r="Q13" s="798">
        <v>15</v>
      </c>
      <c r="R13" s="798">
        <v>16</v>
      </c>
      <c r="S13" s="798" t="s">
        <v>936</v>
      </c>
      <c r="T13" s="798">
        <v>18</v>
      </c>
      <c r="U13" s="798">
        <v>19</v>
      </c>
      <c r="V13" s="798" t="s">
        <v>937</v>
      </c>
      <c r="W13" s="798">
        <v>21</v>
      </c>
      <c r="X13" s="798">
        <v>22</v>
      </c>
    </row>
    <row r="14" spans="1:25" s="545" customFormat="1" ht="4.5" customHeight="1">
      <c r="A14" s="963"/>
      <c r="B14" s="963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</row>
    <row r="15" spans="1:25" s="545" customFormat="1" ht="21.75" customHeight="1">
      <c r="A15" s="952" t="s">
        <v>938</v>
      </c>
      <c r="B15" s="952"/>
      <c r="C15" s="952"/>
      <c r="D15" s="952"/>
      <c r="E15" s="952"/>
      <c r="F15" s="952"/>
      <c r="G15" s="952"/>
      <c r="H15" s="952"/>
      <c r="I15" s="952"/>
      <c r="J15" s="952"/>
      <c r="K15" s="952"/>
      <c r="L15" s="952"/>
      <c r="M15" s="952"/>
      <c r="N15" s="952"/>
      <c r="O15" s="952"/>
      <c r="P15" s="952"/>
      <c r="Q15" s="952"/>
      <c r="R15" s="952"/>
      <c r="S15" s="952"/>
      <c r="T15" s="952"/>
      <c r="U15" s="952"/>
      <c r="V15" s="952"/>
      <c r="W15" s="952"/>
      <c r="X15" s="952"/>
      <c r="Y15" s="546"/>
    </row>
    <row r="16" spans="1:25" s="545" customFormat="1" ht="3.75" customHeight="1">
      <c r="A16" s="953"/>
      <c r="B16" s="953"/>
      <c r="C16" s="953"/>
      <c r="D16" s="953"/>
      <c r="E16" s="953"/>
      <c r="F16" s="953"/>
      <c r="G16" s="953"/>
      <c r="H16" s="953"/>
      <c r="I16" s="953"/>
      <c r="J16" s="953"/>
      <c r="K16" s="953"/>
      <c r="L16" s="953"/>
      <c r="M16" s="953"/>
      <c r="N16" s="953"/>
      <c r="O16" s="953"/>
      <c r="P16" s="953"/>
      <c r="Q16" s="953"/>
      <c r="R16" s="953"/>
      <c r="S16" s="953"/>
      <c r="T16" s="953"/>
      <c r="U16" s="953"/>
      <c r="V16" s="953"/>
      <c r="W16" s="953"/>
      <c r="X16" s="953"/>
      <c r="Y16" s="547"/>
    </row>
    <row r="17" spans="1:24" s="549" customFormat="1" ht="15.2" customHeight="1">
      <c r="A17" s="954">
        <v>1</v>
      </c>
      <c r="B17" s="955" t="s">
        <v>721</v>
      </c>
      <c r="C17" s="956" t="s">
        <v>939</v>
      </c>
      <c r="D17" s="957" t="s">
        <v>723</v>
      </c>
      <c r="E17" s="954" t="s">
        <v>940</v>
      </c>
      <c r="F17" s="954" t="s">
        <v>941</v>
      </c>
      <c r="G17" s="955" t="s">
        <v>942</v>
      </c>
      <c r="H17" s="548">
        <f>H18+H19+H20+H21</f>
        <v>23433538</v>
      </c>
      <c r="I17" s="548">
        <f>I18+I19+I20+I21</f>
        <v>11376497</v>
      </c>
      <c r="J17" s="958" t="s">
        <v>13</v>
      </c>
      <c r="K17" s="950">
        <f>L17+O17</f>
        <v>5788981</v>
      </c>
      <c r="L17" s="950">
        <f>M17+N17</f>
        <v>4944034</v>
      </c>
      <c r="M17" s="951">
        <v>4944034</v>
      </c>
      <c r="N17" s="951">
        <v>0</v>
      </c>
      <c r="O17" s="950">
        <f>P17+S17+V17</f>
        <v>844947</v>
      </c>
      <c r="P17" s="950">
        <f>Q17+R17</f>
        <v>0</v>
      </c>
      <c r="Q17" s="951">
        <v>0</v>
      </c>
      <c r="R17" s="951">
        <v>0</v>
      </c>
      <c r="S17" s="950">
        <f>T17+U17</f>
        <v>395171</v>
      </c>
      <c r="T17" s="951">
        <v>395171</v>
      </c>
      <c r="U17" s="951">
        <v>0</v>
      </c>
      <c r="V17" s="950">
        <f>W17+X17</f>
        <v>449776</v>
      </c>
      <c r="W17" s="951">
        <v>449776</v>
      </c>
      <c r="X17" s="951">
        <v>0</v>
      </c>
    </row>
    <row r="18" spans="1:24" s="549" customFormat="1" ht="15.2" customHeight="1">
      <c r="A18" s="954"/>
      <c r="B18" s="955"/>
      <c r="C18" s="956"/>
      <c r="D18" s="957"/>
      <c r="E18" s="954"/>
      <c r="F18" s="954"/>
      <c r="G18" s="955"/>
      <c r="H18" s="548">
        <v>19913614</v>
      </c>
      <c r="I18" s="548">
        <v>9713576</v>
      </c>
      <c r="J18" s="959"/>
      <c r="K18" s="950"/>
      <c r="L18" s="950"/>
      <c r="M18" s="951"/>
      <c r="N18" s="951"/>
      <c r="O18" s="950"/>
      <c r="P18" s="950"/>
      <c r="Q18" s="951"/>
      <c r="R18" s="951"/>
      <c r="S18" s="950"/>
      <c r="T18" s="951"/>
      <c r="U18" s="951"/>
      <c r="V18" s="950"/>
      <c r="W18" s="951"/>
      <c r="X18" s="951"/>
    </row>
    <row r="19" spans="1:24" s="549" customFormat="1" ht="15.2" customHeight="1">
      <c r="A19" s="954"/>
      <c r="B19" s="955"/>
      <c r="C19" s="956"/>
      <c r="D19" s="957"/>
      <c r="E19" s="954"/>
      <c r="F19" s="954"/>
      <c r="G19" s="955"/>
      <c r="H19" s="548">
        <v>0</v>
      </c>
      <c r="I19" s="548">
        <v>0</v>
      </c>
      <c r="J19" s="548" t="s">
        <v>14</v>
      </c>
      <c r="K19" s="550">
        <f>L19+O19</f>
        <v>0</v>
      </c>
      <c r="L19" s="550">
        <f>M19+N19</f>
        <v>0</v>
      </c>
      <c r="M19" s="551">
        <v>0</v>
      </c>
      <c r="N19" s="551">
        <v>0</v>
      </c>
      <c r="O19" s="550">
        <f>P19+S19+V19</f>
        <v>0</v>
      </c>
      <c r="P19" s="550">
        <f>Q19+R19</f>
        <v>0</v>
      </c>
      <c r="Q19" s="551">
        <v>0</v>
      </c>
      <c r="R19" s="551">
        <v>0</v>
      </c>
      <c r="S19" s="550">
        <f>T19+U19</f>
        <v>0</v>
      </c>
      <c r="T19" s="551">
        <v>0</v>
      </c>
      <c r="U19" s="551">
        <v>0</v>
      </c>
      <c r="V19" s="550">
        <f>W19+X19</f>
        <v>0</v>
      </c>
      <c r="W19" s="551">
        <v>0</v>
      </c>
      <c r="X19" s="551">
        <v>0</v>
      </c>
    </row>
    <row r="20" spans="1:24" s="549" customFormat="1" ht="15.2" customHeight="1">
      <c r="A20" s="954"/>
      <c r="B20" s="955"/>
      <c r="C20" s="956"/>
      <c r="D20" s="957"/>
      <c r="E20" s="954"/>
      <c r="F20" s="954"/>
      <c r="G20" s="955"/>
      <c r="H20" s="548">
        <v>1953551</v>
      </c>
      <c r="I20" s="548">
        <v>1148594</v>
      </c>
      <c r="J20" s="958" t="s">
        <v>15</v>
      </c>
      <c r="K20" s="950">
        <f>K17+K19</f>
        <v>5788981</v>
      </c>
      <c r="L20" s="950">
        <f t="shared" ref="L20:X20" si="0">L17+L19</f>
        <v>4944034</v>
      </c>
      <c r="M20" s="951">
        <f t="shared" si="0"/>
        <v>4944034</v>
      </c>
      <c r="N20" s="951">
        <f t="shared" si="0"/>
        <v>0</v>
      </c>
      <c r="O20" s="950">
        <f t="shared" si="0"/>
        <v>844947</v>
      </c>
      <c r="P20" s="950">
        <f t="shared" si="0"/>
        <v>0</v>
      </c>
      <c r="Q20" s="951">
        <f t="shared" si="0"/>
        <v>0</v>
      </c>
      <c r="R20" s="951">
        <f t="shared" si="0"/>
        <v>0</v>
      </c>
      <c r="S20" s="950">
        <f t="shared" si="0"/>
        <v>395171</v>
      </c>
      <c r="T20" s="951">
        <f t="shared" si="0"/>
        <v>395171</v>
      </c>
      <c r="U20" s="951">
        <f t="shared" si="0"/>
        <v>0</v>
      </c>
      <c r="V20" s="950">
        <f t="shared" si="0"/>
        <v>449776</v>
      </c>
      <c r="W20" s="951">
        <f t="shared" si="0"/>
        <v>449776</v>
      </c>
      <c r="X20" s="951">
        <f t="shared" si="0"/>
        <v>0</v>
      </c>
    </row>
    <row r="21" spans="1:24" s="549" customFormat="1" ht="15.2" customHeight="1">
      <c r="A21" s="954"/>
      <c r="B21" s="955"/>
      <c r="C21" s="956"/>
      <c r="D21" s="957"/>
      <c r="E21" s="954"/>
      <c r="F21" s="954"/>
      <c r="G21" s="955"/>
      <c r="H21" s="548">
        <v>1566373</v>
      </c>
      <c r="I21" s="548">
        <v>514327</v>
      </c>
      <c r="J21" s="959"/>
      <c r="K21" s="950"/>
      <c r="L21" s="950"/>
      <c r="M21" s="951"/>
      <c r="N21" s="951"/>
      <c r="O21" s="950"/>
      <c r="P21" s="950"/>
      <c r="Q21" s="951"/>
      <c r="R21" s="951"/>
      <c r="S21" s="950"/>
      <c r="T21" s="951"/>
      <c r="U21" s="951"/>
      <c r="V21" s="950"/>
      <c r="W21" s="951"/>
      <c r="X21" s="951"/>
    </row>
    <row r="22" spans="1:24" s="549" customFormat="1" ht="15.2" customHeight="1">
      <c r="A22" s="954">
        <v>2</v>
      </c>
      <c r="B22" s="955" t="s">
        <v>721</v>
      </c>
      <c r="C22" s="956" t="s">
        <v>939</v>
      </c>
      <c r="D22" s="957" t="s">
        <v>722</v>
      </c>
      <c r="E22" s="954" t="s">
        <v>940</v>
      </c>
      <c r="F22" s="954" t="s">
        <v>941</v>
      </c>
      <c r="G22" s="955" t="s">
        <v>942</v>
      </c>
      <c r="H22" s="548">
        <f>H23+H24+H25+H26</f>
        <v>8544937</v>
      </c>
      <c r="I22" s="548">
        <f>I23+I24+I25+I26</f>
        <v>2067265</v>
      </c>
      <c r="J22" s="958" t="s">
        <v>13</v>
      </c>
      <c r="K22" s="950">
        <f>L22+O22</f>
        <v>3400901</v>
      </c>
      <c r="L22" s="950">
        <f>M22+N22</f>
        <v>2864993</v>
      </c>
      <c r="M22" s="951">
        <v>2864993</v>
      </c>
      <c r="N22" s="951">
        <v>0</v>
      </c>
      <c r="O22" s="950">
        <f>P22+S22+V22</f>
        <v>535908</v>
      </c>
      <c r="P22" s="950">
        <f>Q22+R22</f>
        <v>0</v>
      </c>
      <c r="Q22" s="951">
        <v>0</v>
      </c>
      <c r="R22" s="951">
        <v>0</v>
      </c>
      <c r="S22" s="950">
        <f>T22+U22</f>
        <v>75908</v>
      </c>
      <c r="T22" s="951">
        <v>75908</v>
      </c>
      <c r="U22" s="951">
        <v>0</v>
      </c>
      <c r="V22" s="950">
        <f>W22+X22</f>
        <v>460000</v>
      </c>
      <c r="W22" s="951">
        <v>460000</v>
      </c>
      <c r="X22" s="951">
        <v>0</v>
      </c>
    </row>
    <row r="23" spans="1:24" s="549" customFormat="1" ht="15.2" customHeight="1">
      <c r="A23" s="954"/>
      <c r="B23" s="955"/>
      <c r="C23" s="956"/>
      <c r="D23" s="957"/>
      <c r="E23" s="954"/>
      <c r="F23" s="954"/>
      <c r="G23" s="955"/>
      <c r="H23" s="548">
        <v>7231583</v>
      </c>
      <c r="I23" s="548">
        <v>1727548</v>
      </c>
      <c r="J23" s="959"/>
      <c r="K23" s="950"/>
      <c r="L23" s="950"/>
      <c r="M23" s="951"/>
      <c r="N23" s="951"/>
      <c r="O23" s="950"/>
      <c r="P23" s="950"/>
      <c r="Q23" s="951"/>
      <c r="R23" s="951"/>
      <c r="S23" s="950"/>
      <c r="T23" s="951"/>
      <c r="U23" s="951"/>
      <c r="V23" s="950"/>
      <c r="W23" s="951"/>
      <c r="X23" s="951"/>
    </row>
    <row r="24" spans="1:24" s="549" customFormat="1" ht="15.2" customHeight="1">
      <c r="A24" s="954"/>
      <c r="B24" s="955"/>
      <c r="C24" s="956"/>
      <c r="D24" s="957"/>
      <c r="E24" s="954"/>
      <c r="F24" s="954"/>
      <c r="G24" s="955"/>
      <c r="H24" s="548">
        <v>0</v>
      </c>
      <c r="I24" s="548">
        <v>0</v>
      </c>
      <c r="J24" s="548" t="s">
        <v>14</v>
      </c>
      <c r="K24" s="550">
        <f>L24+O24</f>
        <v>712892</v>
      </c>
      <c r="L24" s="550">
        <f>M24+N24</f>
        <v>530156</v>
      </c>
      <c r="M24" s="551">
        <v>530156</v>
      </c>
      <c r="N24" s="551">
        <v>0</v>
      </c>
      <c r="O24" s="550">
        <f>P24+S24+V24</f>
        <v>182736</v>
      </c>
      <c r="P24" s="550">
        <f>Q24+R24</f>
        <v>0</v>
      </c>
      <c r="Q24" s="551">
        <v>0</v>
      </c>
      <c r="R24" s="551">
        <v>0</v>
      </c>
      <c r="S24" s="550">
        <f>T24+U24</f>
        <v>-1185</v>
      </c>
      <c r="T24" s="551">
        <v>-1185</v>
      </c>
      <c r="U24" s="551">
        <v>0</v>
      </c>
      <c r="V24" s="550">
        <f>W24+X24</f>
        <v>183921</v>
      </c>
      <c r="W24" s="551">
        <v>183921</v>
      </c>
      <c r="X24" s="551">
        <v>0</v>
      </c>
    </row>
    <row r="25" spans="1:24" s="549" customFormat="1" ht="15.2" customHeight="1">
      <c r="A25" s="954"/>
      <c r="B25" s="955"/>
      <c r="C25" s="956"/>
      <c r="D25" s="957"/>
      <c r="E25" s="954"/>
      <c r="F25" s="954"/>
      <c r="G25" s="955"/>
      <c r="H25" s="548">
        <v>363602</v>
      </c>
      <c r="I25" s="548">
        <v>169030</v>
      </c>
      <c r="J25" s="958" t="s">
        <v>15</v>
      </c>
      <c r="K25" s="950">
        <f>K22+K24</f>
        <v>4113793</v>
      </c>
      <c r="L25" s="950">
        <f t="shared" ref="L25:X25" si="1">L22+L24</f>
        <v>3395149</v>
      </c>
      <c r="M25" s="951">
        <f t="shared" si="1"/>
        <v>3395149</v>
      </c>
      <c r="N25" s="951">
        <f t="shared" si="1"/>
        <v>0</v>
      </c>
      <c r="O25" s="950">
        <f t="shared" si="1"/>
        <v>718644</v>
      </c>
      <c r="P25" s="950">
        <f t="shared" si="1"/>
        <v>0</v>
      </c>
      <c r="Q25" s="951">
        <f t="shared" si="1"/>
        <v>0</v>
      </c>
      <c r="R25" s="951">
        <f t="shared" si="1"/>
        <v>0</v>
      </c>
      <c r="S25" s="950">
        <f t="shared" si="1"/>
        <v>74723</v>
      </c>
      <c r="T25" s="951">
        <f t="shared" si="1"/>
        <v>74723</v>
      </c>
      <c r="U25" s="951">
        <f t="shared" si="1"/>
        <v>0</v>
      </c>
      <c r="V25" s="950">
        <f t="shared" si="1"/>
        <v>643921</v>
      </c>
      <c r="W25" s="951">
        <f t="shared" si="1"/>
        <v>643921</v>
      </c>
      <c r="X25" s="951">
        <f t="shared" si="1"/>
        <v>0</v>
      </c>
    </row>
    <row r="26" spans="1:24" s="549" customFormat="1" ht="15.2" customHeight="1">
      <c r="A26" s="954"/>
      <c r="B26" s="955"/>
      <c r="C26" s="956"/>
      <c r="D26" s="957"/>
      <c r="E26" s="954"/>
      <c r="F26" s="954"/>
      <c r="G26" s="955"/>
      <c r="H26" s="548">
        <v>949752</v>
      </c>
      <c r="I26" s="548">
        <v>170687</v>
      </c>
      <c r="J26" s="959"/>
      <c r="K26" s="950"/>
      <c r="L26" s="950"/>
      <c r="M26" s="951"/>
      <c r="N26" s="951"/>
      <c r="O26" s="950"/>
      <c r="P26" s="950"/>
      <c r="Q26" s="951"/>
      <c r="R26" s="951"/>
      <c r="S26" s="950"/>
      <c r="T26" s="951"/>
      <c r="U26" s="951"/>
      <c r="V26" s="950"/>
      <c r="W26" s="951"/>
      <c r="X26" s="951"/>
    </row>
    <row r="27" spans="1:24" s="549" customFormat="1" ht="15.2" hidden="1" customHeight="1">
      <c r="A27" s="954">
        <v>3</v>
      </c>
      <c r="B27" s="955" t="s">
        <v>721</v>
      </c>
      <c r="C27" s="956" t="s">
        <v>939</v>
      </c>
      <c r="D27" s="957" t="s">
        <v>943</v>
      </c>
      <c r="E27" s="954" t="s">
        <v>940</v>
      </c>
      <c r="F27" s="954" t="s">
        <v>941</v>
      </c>
      <c r="G27" s="955" t="s">
        <v>944</v>
      </c>
      <c r="H27" s="548">
        <f>H28+H29+H30+H31</f>
        <v>21700000</v>
      </c>
      <c r="I27" s="548">
        <f>I28+I29+I30+I31</f>
        <v>0</v>
      </c>
      <c r="J27" s="958" t="s">
        <v>13</v>
      </c>
      <c r="K27" s="950">
        <f>L27+O27</f>
        <v>7233331</v>
      </c>
      <c r="L27" s="950">
        <f>M27+N27</f>
        <v>6148332</v>
      </c>
      <c r="M27" s="951">
        <v>6148332</v>
      </c>
      <c r="N27" s="951">
        <v>0</v>
      </c>
      <c r="O27" s="950">
        <f>P27+S27+V27</f>
        <v>1084999</v>
      </c>
      <c r="P27" s="950">
        <f>Q27+R27</f>
        <v>723333</v>
      </c>
      <c r="Q27" s="951">
        <v>723333</v>
      </c>
      <c r="R27" s="951">
        <v>0</v>
      </c>
      <c r="S27" s="950">
        <f>T27+U27</f>
        <v>361666</v>
      </c>
      <c r="T27" s="951">
        <v>361666</v>
      </c>
      <c r="U27" s="951">
        <v>0</v>
      </c>
      <c r="V27" s="950">
        <f>W27+X27</f>
        <v>0</v>
      </c>
      <c r="W27" s="951">
        <v>0</v>
      </c>
      <c r="X27" s="951">
        <v>0</v>
      </c>
    </row>
    <row r="28" spans="1:24" s="549" customFormat="1" ht="15.2" hidden="1" customHeight="1">
      <c r="A28" s="954"/>
      <c r="B28" s="955"/>
      <c r="C28" s="956"/>
      <c r="D28" s="957"/>
      <c r="E28" s="954"/>
      <c r="F28" s="954"/>
      <c r="G28" s="955"/>
      <c r="H28" s="548">
        <v>18445000</v>
      </c>
      <c r="I28" s="548">
        <v>0</v>
      </c>
      <c r="J28" s="959"/>
      <c r="K28" s="950"/>
      <c r="L28" s="950"/>
      <c r="M28" s="951"/>
      <c r="N28" s="951"/>
      <c r="O28" s="950"/>
      <c r="P28" s="950"/>
      <c r="Q28" s="951"/>
      <c r="R28" s="951"/>
      <c r="S28" s="950"/>
      <c r="T28" s="951"/>
      <c r="U28" s="951"/>
      <c r="V28" s="950"/>
      <c r="W28" s="951"/>
      <c r="X28" s="951"/>
    </row>
    <row r="29" spans="1:24" s="549" customFormat="1" ht="15.2" hidden="1" customHeight="1">
      <c r="A29" s="954"/>
      <c r="B29" s="955"/>
      <c r="C29" s="956"/>
      <c r="D29" s="957"/>
      <c r="E29" s="954"/>
      <c r="F29" s="954"/>
      <c r="G29" s="955"/>
      <c r="H29" s="548">
        <v>2170000</v>
      </c>
      <c r="I29" s="548">
        <v>0</v>
      </c>
      <c r="J29" s="548" t="s">
        <v>14</v>
      </c>
      <c r="K29" s="550">
        <f>L29+O29</f>
        <v>0</v>
      </c>
      <c r="L29" s="550">
        <f>M29+N29</f>
        <v>0</v>
      </c>
      <c r="M29" s="551">
        <v>0</v>
      </c>
      <c r="N29" s="551">
        <v>0</v>
      </c>
      <c r="O29" s="550">
        <f>P29+S29+V29</f>
        <v>0</v>
      </c>
      <c r="P29" s="550">
        <f>Q29+R29</f>
        <v>0</v>
      </c>
      <c r="Q29" s="551">
        <v>0</v>
      </c>
      <c r="R29" s="551">
        <v>0</v>
      </c>
      <c r="S29" s="550">
        <f>T29+U29</f>
        <v>0</v>
      </c>
      <c r="T29" s="551">
        <v>0</v>
      </c>
      <c r="U29" s="551">
        <v>0</v>
      </c>
      <c r="V29" s="550">
        <f>W29+X29</f>
        <v>0</v>
      </c>
      <c r="W29" s="551">
        <v>0</v>
      </c>
      <c r="X29" s="551">
        <v>0</v>
      </c>
    </row>
    <row r="30" spans="1:24" s="549" customFormat="1" ht="15.2" hidden="1" customHeight="1">
      <c r="A30" s="954"/>
      <c r="B30" s="955"/>
      <c r="C30" s="956"/>
      <c r="D30" s="957"/>
      <c r="E30" s="954"/>
      <c r="F30" s="954"/>
      <c r="G30" s="955"/>
      <c r="H30" s="548">
        <v>1085000</v>
      </c>
      <c r="I30" s="548">
        <v>0</v>
      </c>
      <c r="J30" s="958" t="s">
        <v>15</v>
      </c>
      <c r="K30" s="950">
        <f>K27+K29</f>
        <v>7233331</v>
      </c>
      <c r="L30" s="950">
        <f t="shared" ref="L30:X30" si="2">L27+L29</f>
        <v>6148332</v>
      </c>
      <c r="M30" s="951">
        <f t="shared" si="2"/>
        <v>6148332</v>
      </c>
      <c r="N30" s="951">
        <f t="shared" si="2"/>
        <v>0</v>
      </c>
      <c r="O30" s="950">
        <f t="shared" si="2"/>
        <v>1084999</v>
      </c>
      <c r="P30" s="950">
        <f t="shared" si="2"/>
        <v>723333</v>
      </c>
      <c r="Q30" s="951">
        <f t="shared" si="2"/>
        <v>723333</v>
      </c>
      <c r="R30" s="951">
        <f t="shared" si="2"/>
        <v>0</v>
      </c>
      <c r="S30" s="950">
        <f t="shared" si="2"/>
        <v>361666</v>
      </c>
      <c r="T30" s="951">
        <f t="shared" si="2"/>
        <v>361666</v>
      </c>
      <c r="U30" s="951">
        <f t="shared" si="2"/>
        <v>0</v>
      </c>
      <c r="V30" s="950">
        <f t="shared" si="2"/>
        <v>0</v>
      </c>
      <c r="W30" s="951">
        <f t="shared" si="2"/>
        <v>0</v>
      </c>
      <c r="X30" s="951">
        <f t="shared" si="2"/>
        <v>0</v>
      </c>
    </row>
    <row r="31" spans="1:24" s="549" customFormat="1" ht="15.2" hidden="1" customHeight="1">
      <c r="A31" s="954"/>
      <c r="B31" s="955"/>
      <c r="C31" s="956"/>
      <c r="D31" s="957"/>
      <c r="E31" s="954"/>
      <c r="F31" s="954"/>
      <c r="G31" s="955"/>
      <c r="H31" s="548">
        <v>0</v>
      </c>
      <c r="I31" s="548">
        <v>0</v>
      </c>
      <c r="J31" s="959"/>
      <c r="K31" s="950"/>
      <c r="L31" s="950"/>
      <c r="M31" s="951"/>
      <c r="N31" s="951"/>
      <c r="O31" s="950"/>
      <c r="P31" s="950"/>
      <c r="Q31" s="951"/>
      <c r="R31" s="951"/>
      <c r="S31" s="950"/>
      <c r="T31" s="951"/>
      <c r="U31" s="951"/>
      <c r="V31" s="950"/>
      <c r="W31" s="951"/>
      <c r="X31" s="951"/>
    </row>
    <row r="32" spans="1:24" s="549" customFormat="1" ht="15.2" customHeight="1">
      <c r="A32" s="954">
        <v>3</v>
      </c>
      <c r="B32" s="955" t="s">
        <v>721</v>
      </c>
      <c r="C32" s="956" t="s">
        <v>939</v>
      </c>
      <c r="D32" s="957" t="s">
        <v>720</v>
      </c>
      <c r="E32" s="954" t="s">
        <v>940</v>
      </c>
      <c r="F32" s="954" t="s">
        <v>941</v>
      </c>
      <c r="G32" s="955" t="s">
        <v>945</v>
      </c>
      <c r="H32" s="548">
        <f>H33+H34+H35+H36</f>
        <v>9743979</v>
      </c>
      <c r="I32" s="548">
        <f>I33+I34+I35+I36</f>
        <v>2581031</v>
      </c>
      <c r="J32" s="958" t="s">
        <v>13</v>
      </c>
      <c r="K32" s="950">
        <f>L32+O32</f>
        <v>5627019</v>
      </c>
      <c r="L32" s="950">
        <f>M32+N32</f>
        <v>5188918</v>
      </c>
      <c r="M32" s="951">
        <v>5188918</v>
      </c>
      <c r="N32" s="951">
        <v>0</v>
      </c>
      <c r="O32" s="950">
        <f>P32+S32+V32</f>
        <v>438101</v>
      </c>
      <c r="P32" s="950">
        <f>Q32+R32</f>
        <v>0</v>
      </c>
      <c r="Q32" s="951">
        <v>0</v>
      </c>
      <c r="R32" s="951">
        <v>0</v>
      </c>
      <c r="S32" s="950">
        <f>T32+U32</f>
        <v>438101</v>
      </c>
      <c r="T32" s="951">
        <v>438101</v>
      </c>
      <c r="U32" s="951">
        <v>0</v>
      </c>
      <c r="V32" s="950">
        <f>W32+X32</f>
        <v>0</v>
      </c>
      <c r="W32" s="951">
        <v>0</v>
      </c>
      <c r="X32" s="951">
        <v>0</v>
      </c>
    </row>
    <row r="33" spans="1:24" s="549" customFormat="1" ht="15.2" customHeight="1">
      <c r="A33" s="954"/>
      <c r="B33" s="955"/>
      <c r="C33" s="956"/>
      <c r="D33" s="957"/>
      <c r="E33" s="954"/>
      <c r="F33" s="954"/>
      <c r="G33" s="955"/>
      <c r="H33" s="548">
        <v>8267301</v>
      </c>
      <c r="I33" s="548">
        <v>1807385</v>
      </c>
      <c r="J33" s="959"/>
      <c r="K33" s="950"/>
      <c r="L33" s="950"/>
      <c r="M33" s="951"/>
      <c r="N33" s="951"/>
      <c r="O33" s="950"/>
      <c r="P33" s="950"/>
      <c r="Q33" s="951"/>
      <c r="R33" s="951"/>
      <c r="S33" s="950"/>
      <c r="T33" s="951"/>
      <c r="U33" s="951"/>
      <c r="V33" s="950"/>
      <c r="W33" s="951"/>
      <c r="X33" s="951"/>
    </row>
    <row r="34" spans="1:24" s="549" customFormat="1" ht="15.2" customHeight="1">
      <c r="A34" s="954"/>
      <c r="B34" s="955"/>
      <c r="C34" s="956"/>
      <c r="D34" s="957"/>
      <c r="E34" s="954"/>
      <c r="F34" s="954"/>
      <c r="G34" s="955"/>
      <c r="H34" s="548">
        <v>0</v>
      </c>
      <c r="I34" s="548">
        <v>0</v>
      </c>
      <c r="J34" s="548" t="s">
        <v>14</v>
      </c>
      <c r="K34" s="550">
        <f>L34+O34</f>
        <v>-940144</v>
      </c>
      <c r="L34" s="550">
        <f>M34+N34</f>
        <v>-1205075</v>
      </c>
      <c r="M34" s="551">
        <v>-1205075</v>
      </c>
      <c r="N34" s="551">
        <v>0</v>
      </c>
      <c r="O34" s="550">
        <f>P34+S34+V34</f>
        <v>264931</v>
      </c>
      <c r="P34" s="550">
        <f>Q34+R34</f>
        <v>0</v>
      </c>
      <c r="Q34" s="551">
        <v>0</v>
      </c>
      <c r="R34" s="551">
        <v>0</v>
      </c>
      <c r="S34" s="550">
        <f>T34+U34</f>
        <v>264931</v>
      </c>
      <c r="T34" s="551">
        <v>264931</v>
      </c>
      <c r="U34" s="551">
        <v>0</v>
      </c>
      <c r="V34" s="550">
        <f>W34+X34</f>
        <v>0</v>
      </c>
      <c r="W34" s="551">
        <v>0</v>
      </c>
      <c r="X34" s="551">
        <v>0</v>
      </c>
    </row>
    <row r="35" spans="1:24" s="549" customFormat="1" ht="15.2" customHeight="1">
      <c r="A35" s="954"/>
      <c r="B35" s="955"/>
      <c r="C35" s="956"/>
      <c r="D35" s="957"/>
      <c r="E35" s="954"/>
      <c r="F35" s="954"/>
      <c r="G35" s="955"/>
      <c r="H35" s="548">
        <v>1476678</v>
      </c>
      <c r="I35" s="548">
        <v>773646</v>
      </c>
      <c r="J35" s="958" t="s">
        <v>15</v>
      </c>
      <c r="K35" s="950">
        <f>K32+K34</f>
        <v>4686875</v>
      </c>
      <c r="L35" s="950">
        <f t="shared" ref="L35:X35" si="3">L32+L34</f>
        <v>3983843</v>
      </c>
      <c r="M35" s="951">
        <f t="shared" si="3"/>
        <v>3983843</v>
      </c>
      <c r="N35" s="951">
        <f t="shared" si="3"/>
        <v>0</v>
      </c>
      <c r="O35" s="950">
        <f t="shared" si="3"/>
        <v>703032</v>
      </c>
      <c r="P35" s="950">
        <f t="shared" si="3"/>
        <v>0</v>
      </c>
      <c r="Q35" s="951">
        <f t="shared" si="3"/>
        <v>0</v>
      </c>
      <c r="R35" s="951">
        <f t="shared" si="3"/>
        <v>0</v>
      </c>
      <c r="S35" s="950">
        <f t="shared" si="3"/>
        <v>703032</v>
      </c>
      <c r="T35" s="951">
        <f t="shared" si="3"/>
        <v>703032</v>
      </c>
      <c r="U35" s="951">
        <f t="shared" si="3"/>
        <v>0</v>
      </c>
      <c r="V35" s="950">
        <f t="shared" si="3"/>
        <v>0</v>
      </c>
      <c r="W35" s="951">
        <f t="shared" si="3"/>
        <v>0</v>
      </c>
      <c r="X35" s="951">
        <f t="shared" si="3"/>
        <v>0</v>
      </c>
    </row>
    <row r="36" spans="1:24" s="549" customFormat="1" ht="15.2" customHeight="1">
      <c r="A36" s="954"/>
      <c r="B36" s="955"/>
      <c r="C36" s="956"/>
      <c r="D36" s="957"/>
      <c r="E36" s="954"/>
      <c r="F36" s="954"/>
      <c r="G36" s="955"/>
      <c r="H36" s="548">
        <v>0</v>
      </c>
      <c r="I36" s="548">
        <v>0</v>
      </c>
      <c r="J36" s="959"/>
      <c r="K36" s="950"/>
      <c r="L36" s="950"/>
      <c r="M36" s="951"/>
      <c r="N36" s="951"/>
      <c r="O36" s="950"/>
      <c r="P36" s="950"/>
      <c r="Q36" s="951"/>
      <c r="R36" s="951"/>
      <c r="S36" s="950"/>
      <c r="T36" s="951"/>
      <c r="U36" s="951"/>
      <c r="V36" s="950"/>
      <c r="W36" s="951"/>
      <c r="X36" s="951"/>
    </row>
    <row r="37" spans="1:24" s="549" customFormat="1" ht="15.2" customHeight="1">
      <c r="A37" s="954">
        <v>4</v>
      </c>
      <c r="B37" s="955" t="s">
        <v>721</v>
      </c>
      <c r="C37" s="956" t="s">
        <v>939</v>
      </c>
      <c r="D37" s="957" t="s">
        <v>946</v>
      </c>
      <c r="E37" s="954" t="s">
        <v>940</v>
      </c>
      <c r="F37" s="954" t="s">
        <v>947</v>
      </c>
      <c r="G37" s="955" t="s">
        <v>948</v>
      </c>
      <c r="H37" s="548">
        <f>H38+H39+H40+H41</f>
        <v>14097022</v>
      </c>
      <c r="I37" s="548">
        <f>I38+I39+I40+I41</f>
        <v>79600</v>
      </c>
      <c r="J37" s="958" t="s">
        <v>13</v>
      </c>
      <c r="K37" s="950">
        <f>L37+O37</f>
        <v>7424024</v>
      </c>
      <c r="L37" s="950">
        <f>M37+N37</f>
        <v>6310421</v>
      </c>
      <c r="M37" s="951">
        <v>5196071</v>
      </c>
      <c r="N37" s="951">
        <v>1114350</v>
      </c>
      <c r="O37" s="950">
        <f>P37+S37+V37</f>
        <v>1113603</v>
      </c>
      <c r="P37" s="950">
        <f>Q37+R37</f>
        <v>742402</v>
      </c>
      <c r="Q37" s="951">
        <v>611302</v>
      </c>
      <c r="R37" s="951">
        <v>131100</v>
      </c>
      <c r="S37" s="950">
        <f>T37+U37</f>
        <v>371201</v>
      </c>
      <c r="T37" s="951">
        <v>305651</v>
      </c>
      <c r="U37" s="951">
        <v>65550</v>
      </c>
      <c r="V37" s="950">
        <f>W37+X37</f>
        <v>0</v>
      </c>
      <c r="W37" s="951">
        <v>0</v>
      </c>
      <c r="X37" s="951">
        <v>0</v>
      </c>
    </row>
    <row r="38" spans="1:24" s="549" customFormat="1" ht="15.2" customHeight="1">
      <c r="A38" s="954"/>
      <c r="B38" s="955"/>
      <c r="C38" s="956"/>
      <c r="D38" s="957"/>
      <c r="E38" s="954"/>
      <c r="F38" s="954"/>
      <c r="G38" s="955"/>
      <c r="H38" s="548">
        <v>11553739</v>
      </c>
      <c r="I38" s="548">
        <v>67660</v>
      </c>
      <c r="J38" s="959"/>
      <c r="K38" s="950"/>
      <c r="L38" s="950"/>
      <c r="M38" s="951"/>
      <c r="N38" s="951"/>
      <c r="O38" s="950"/>
      <c r="P38" s="950"/>
      <c r="Q38" s="951"/>
      <c r="R38" s="951"/>
      <c r="S38" s="950"/>
      <c r="T38" s="951"/>
      <c r="U38" s="951"/>
      <c r="V38" s="950"/>
      <c r="W38" s="951"/>
      <c r="X38" s="951"/>
    </row>
    <row r="39" spans="1:24" s="549" customFormat="1" ht="15.2" customHeight="1">
      <c r="A39" s="954"/>
      <c r="B39" s="955"/>
      <c r="C39" s="956"/>
      <c r="D39" s="957"/>
      <c r="E39" s="954"/>
      <c r="F39" s="954"/>
      <c r="G39" s="955"/>
      <c r="H39" s="548">
        <v>1359263</v>
      </c>
      <c r="I39" s="548">
        <v>7960</v>
      </c>
      <c r="J39" s="548" t="s">
        <v>14</v>
      </c>
      <c r="K39" s="550">
        <f>L39+O39</f>
        <v>-1627803</v>
      </c>
      <c r="L39" s="550">
        <f>M39+N39</f>
        <v>-1597998</v>
      </c>
      <c r="M39" s="551">
        <v>-944093</v>
      </c>
      <c r="N39" s="551">
        <v>-653905</v>
      </c>
      <c r="O39" s="550">
        <f>P39+S39+V39</f>
        <v>-29805</v>
      </c>
      <c r="P39" s="550">
        <f>Q39+R39</f>
        <v>-187999</v>
      </c>
      <c r="Q39" s="551">
        <v>-111069</v>
      </c>
      <c r="R39" s="551">
        <v>-76930</v>
      </c>
      <c r="S39" s="550">
        <f>T39+U39</f>
        <v>158194</v>
      </c>
      <c r="T39" s="551">
        <v>-55535</v>
      </c>
      <c r="U39" s="551">
        <v>213729</v>
      </c>
      <c r="V39" s="550">
        <f>W39+X39</f>
        <v>0</v>
      </c>
      <c r="W39" s="551">
        <v>0</v>
      </c>
      <c r="X39" s="551">
        <v>0</v>
      </c>
    </row>
    <row r="40" spans="1:24" s="549" customFormat="1" ht="15.2" customHeight="1">
      <c r="A40" s="954"/>
      <c r="B40" s="955"/>
      <c r="C40" s="956"/>
      <c r="D40" s="957"/>
      <c r="E40" s="954"/>
      <c r="F40" s="954"/>
      <c r="G40" s="955"/>
      <c r="H40" s="548">
        <v>1184020</v>
      </c>
      <c r="I40" s="548">
        <v>3980</v>
      </c>
      <c r="J40" s="958" t="s">
        <v>15</v>
      </c>
      <c r="K40" s="950">
        <f>K37+K39</f>
        <v>5796221</v>
      </c>
      <c r="L40" s="950">
        <f t="shared" ref="L40:X40" si="4">L37+L39</f>
        <v>4712423</v>
      </c>
      <c r="M40" s="951">
        <f t="shared" si="4"/>
        <v>4251978</v>
      </c>
      <c r="N40" s="951">
        <f t="shared" si="4"/>
        <v>460445</v>
      </c>
      <c r="O40" s="950">
        <f t="shared" si="4"/>
        <v>1083798</v>
      </c>
      <c r="P40" s="950">
        <f t="shared" si="4"/>
        <v>554403</v>
      </c>
      <c r="Q40" s="951">
        <f t="shared" si="4"/>
        <v>500233</v>
      </c>
      <c r="R40" s="951">
        <f t="shared" si="4"/>
        <v>54170</v>
      </c>
      <c r="S40" s="950">
        <f t="shared" si="4"/>
        <v>529395</v>
      </c>
      <c r="T40" s="951">
        <f t="shared" si="4"/>
        <v>250116</v>
      </c>
      <c r="U40" s="951">
        <f t="shared" si="4"/>
        <v>279279</v>
      </c>
      <c r="V40" s="950">
        <f t="shared" si="4"/>
        <v>0</v>
      </c>
      <c r="W40" s="951">
        <f t="shared" si="4"/>
        <v>0</v>
      </c>
      <c r="X40" s="951">
        <f t="shared" si="4"/>
        <v>0</v>
      </c>
    </row>
    <row r="41" spans="1:24" s="549" customFormat="1" ht="15.2" customHeight="1">
      <c r="A41" s="954"/>
      <c r="B41" s="955"/>
      <c r="C41" s="956"/>
      <c r="D41" s="957"/>
      <c r="E41" s="954"/>
      <c r="F41" s="954"/>
      <c r="G41" s="955"/>
      <c r="H41" s="548">
        <v>0</v>
      </c>
      <c r="I41" s="548">
        <v>0</v>
      </c>
      <c r="J41" s="959"/>
      <c r="K41" s="950"/>
      <c r="L41" s="950"/>
      <c r="M41" s="951"/>
      <c r="N41" s="951"/>
      <c r="O41" s="950"/>
      <c r="P41" s="950"/>
      <c r="Q41" s="951"/>
      <c r="R41" s="951"/>
      <c r="S41" s="950"/>
      <c r="T41" s="951"/>
      <c r="U41" s="951"/>
      <c r="V41" s="950"/>
      <c r="W41" s="951"/>
      <c r="X41" s="951"/>
    </row>
    <row r="42" spans="1:24" s="549" customFormat="1" ht="16.5" customHeight="1">
      <c r="A42" s="954">
        <v>5</v>
      </c>
      <c r="B42" s="984" t="s">
        <v>740</v>
      </c>
      <c r="C42" s="984" t="s">
        <v>949</v>
      </c>
      <c r="D42" s="985" t="s">
        <v>739</v>
      </c>
      <c r="E42" s="986" t="s">
        <v>940</v>
      </c>
      <c r="F42" s="986" t="s">
        <v>950</v>
      </c>
      <c r="G42" s="987" t="s">
        <v>951</v>
      </c>
      <c r="H42" s="548">
        <f>H43+H44+H45+H46</f>
        <v>4636320</v>
      </c>
      <c r="I42" s="548">
        <f>I43+I44+I45+I46</f>
        <v>2234760</v>
      </c>
      <c r="J42" s="970" t="s">
        <v>13</v>
      </c>
      <c r="K42" s="950">
        <f>L42+O42</f>
        <v>2508480</v>
      </c>
      <c r="L42" s="950">
        <f>M42+N42</f>
        <v>2508480</v>
      </c>
      <c r="M42" s="951">
        <v>2508480</v>
      </c>
      <c r="N42" s="951">
        <v>0</v>
      </c>
      <c r="O42" s="950">
        <f>P42+S42+V42</f>
        <v>0</v>
      </c>
      <c r="P42" s="950">
        <f>Q42+R42</f>
        <v>0</v>
      </c>
      <c r="Q42" s="951">
        <v>0</v>
      </c>
      <c r="R42" s="951">
        <v>0</v>
      </c>
      <c r="S42" s="950">
        <f>T42+U42</f>
        <v>0</v>
      </c>
      <c r="T42" s="951">
        <v>0</v>
      </c>
      <c r="U42" s="951">
        <v>0</v>
      </c>
      <c r="V42" s="950">
        <f>W42+X42</f>
        <v>0</v>
      </c>
      <c r="W42" s="951">
        <v>0</v>
      </c>
      <c r="X42" s="951">
        <v>0</v>
      </c>
    </row>
    <row r="43" spans="1:24" s="549" customFormat="1" ht="16.5" customHeight="1">
      <c r="A43" s="954"/>
      <c r="B43" s="984"/>
      <c r="C43" s="984"/>
      <c r="D43" s="985"/>
      <c r="E43" s="986"/>
      <c r="F43" s="986"/>
      <c r="G43" s="987"/>
      <c r="H43" s="548">
        <v>4636320</v>
      </c>
      <c r="I43" s="548">
        <v>2234760</v>
      </c>
      <c r="J43" s="971"/>
      <c r="K43" s="950"/>
      <c r="L43" s="950"/>
      <c r="M43" s="951"/>
      <c r="N43" s="951"/>
      <c r="O43" s="950"/>
      <c r="P43" s="950"/>
      <c r="Q43" s="951"/>
      <c r="R43" s="951"/>
      <c r="S43" s="950"/>
      <c r="T43" s="951"/>
      <c r="U43" s="951"/>
      <c r="V43" s="950"/>
      <c r="W43" s="951"/>
      <c r="X43" s="951"/>
    </row>
    <row r="44" spans="1:24" s="549" customFormat="1" ht="16.5" customHeight="1">
      <c r="A44" s="954"/>
      <c r="B44" s="984"/>
      <c r="C44" s="984"/>
      <c r="D44" s="985"/>
      <c r="E44" s="986"/>
      <c r="F44" s="986"/>
      <c r="G44" s="987"/>
      <c r="H44" s="548">
        <v>0</v>
      </c>
      <c r="I44" s="548">
        <v>0</v>
      </c>
      <c r="J44" s="552" t="s">
        <v>14</v>
      </c>
      <c r="K44" s="550">
        <f>L44+O44</f>
        <v>-106920</v>
      </c>
      <c r="L44" s="550">
        <f>M44+N44</f>
        <v>-106920</v>
      </c>
      <c r="M44" s="551">
        <v>-106920</v>
      </c>
      <c r="N44" s="551">
        <v>0</v>
      </c>
      <c r="O44" s="550">
        <f>P44+S44+V44</f>
        <v>0</v>
      </c>
      <c r="P44" s="550">
        <f>Q44+R44</f>
        <v>0</v>
      </c>
      <c r="Q44" s="551">
        <v>0</v>
      </c>
      <c r="R44" s="551">
        <v>0</v>
      </c>
      <c r="S44" s="550">
        <f>T44+U44</f>
        <v>0</v>
      </c>
      <c r="T44" s="551">
        <v>0</v>
      </c>
      <c r="U44" s="551">
        <v>0</v>
      </c>
      <c r="V44" s="550">
        <f>W44+X44</f>
        <v>0</v>
      </c>
      <c r="W44" s="551">
        <v>0</v>
      </c>
      <c r="X44" s="551">
        <v>0</v>
      </c>
    </row>
    <row r="45" spans="1:24" s="549" customFormat="1" ht="16.5" customHeight="1">
      <c r="A45" s="954"/>
      <c r="B45" s="984"/>
      <c r="C45" s="984"/>
      <c r="D45" s="985"/>
      <c r="E45" s="986"/>
      <c r="F45" s="986"/>
      <c r="G45" s="987"/>
      <c r="H45" s="548">
        <v>0</v>
      </c>
      <c r="I45" s="548">
        <v>0</v>
      </c>
      <c r="J45" s="970" t="s">
        <v>15</v>
      </c>
      <c r="K45" s="950">
        <f t="shared" ref="K45:X45" si="5">K42+K44</f>
        <v>2401560</v>
      </c>
      <c r="L45" s="950">
        <f t="shared" si="5"/>
        <v>2401560</v>
      </c>
      <c r="M45" s="951">
        <f t="shared" si="5"/>
        <v>2401560</v>
      </c>
      <c r="N45" s="951">
        <f t="shared" si="5"/>
        <v>0</v>
      </c>
      <c r="O45" s="950">
        <f t="shared" si="5"/>
        <v>0</v>
      </c>
      <c r="P45" s="950">
        <f t="shared" si="5"/>
        <v>0</v>
      </c>
      <c r="Q45" s="951">
        <f t="shared" si="5"/>
        <v>0</v>
      </c>
      <c r="R45" s="951">
        <f t="shared" si="5"/>
        <v>0</v>
      </c>
      <c r="S45" s="950">
        <f t="shared" si="5"/>
        <v>0</v>
      </c>
      <c r="T45" s="951">
        <f t="shared" si="5"/>
        <v>0</v>
      </c>
      <c r="U45" s="951">
        <f t="shared" si="5"/>
        <v>0</v>
      </c>
      <c r="V45" s="950">
        <f t="shared" si="5"/>
        <v>0</v>
      </c>
      <c r="W45" s="951">
        <f t="shared" si="5"/>
        <v>0</v>
      </c>
      <c r="X45" s="951">
        <f t="shared" si="5"/>
        <v>0</v>
      </c>
    </row>
    <row r="46" spans="1:24" s="549" customFormat="1" ht="16.5" customHeight="1">
      <c r="A46" s="954"/>
      <c r="B46" s="984"/>
      <c r="C46" s="984"/>
      <c r="D46" s="985"/>
      <c r="E46" s="986"/>
      <c r="F46" s="986"/>
      <c r="G46" s="987"/>
      <c r="H46" s="548">
        <v>0</v>
      </c>
      <c r="I46" s="548">
        <v>0</v>
      </c>
      <c r="J46" s="971"/>
      <c r="K46" s="950"/>
      <c r="L46" s="950"/>
      <c r="M46" s="951"/>
      <c r="N46" s="951"/>
      <c r="O46" s="950"/>
      <c r="P46" s="950"/>
      <c r="Q46" s="951"/>
      <c r="R46" s="951"/>
      <c r="S46" s="950"/>
      <c r="T46" s="951"/>
      <c r="U46" s="951"/>
      <c r="V46" s="950"/>
      <c r="W46" s="951"/>
      <c r="X46" s="951"/>
    </row>
    <row r="47" spans="1:24" s="549" customFormat="1" ht="15.2" customHeight="1">
      <c r="A47" s="954">
        <v>6</v>
      </c>
      <c r="B47" s="972" t="s">
        <v>729</v>
      </c>
      <c r="C47" s="975" t="s">
        <v>952</v>
      </c>
      <c r="D47" s="978" t="s">
        <v>728</v>
      </c>
      <c r="E47" s="954" t="s">
        <v>940</v>
      </c>
      <c r="F47" s="981" t="s">
        <v>953</v>
      </c>
      <c r="G47" s="972" t="s">
        <v>942</v>
      </c>
      <c r="H47" s="548">
        <f>H48+H49+H50+H51</f>
        <v>116874398</v>
      </c>
      <c r="I47" s="548">
        <f>I48+I49+I50+I51</f>
        <v>49966168</v>
      </c>
      <c r="J47" s="958" t="s">
        <v>13</v>
      </c>
      <c r="K47" s="950">
        <f t="shared" ref="K47" si="6">L47+O47</f>
        <v>33525449</v>
      </c>
      <c r="L47" s="950">
        <f t="shared" ref="L47" si="7">M47+N47</f>
        <v>33036191</v>
      </c>
      <c r="M47" s="951">
        <v>1008984</v>
      </c>
      <c r="N47" s="951">
        <v>32027207</v>
      </c>
      <c r="O47" s="950">
        <f t="shared" ref="O47" si="8">P47+S47+V47</f>
        <v>489258</v>
      </c>
      <c r="P47" s="950">
        <f t="shared" ref="P47" si="9">Q47+R47</f>
        <v>0</v>
      </c>
      <c r="Q47" s="951">
        <v>0</v>
      </c>
      <c r="R47" s="951">
        <v>0</v>
      </c>
      <c r="S47" s="950">
        <f t="shared" ref="S47" si="10">T47+U47</f>
        <v>431258</v>
      </c>
      <c r="T47" s="951">
        <v>120058</v>
      </c>
      <c r="U47" s="951">
        <v>311200</v>
      </c>
      <c r="V47" s="950">
        <f t="shared" ref="V47" si="11">W47+X47</f>
        <v>58000</v>
      </c>
      <c r="W47" s="951">
        <v>58000</v>
      </c>
      <c r="X47" s="951">
        <v>0</v>
      </c>
    </row>
    <row r="48" spans="1:24" s="549" customFormat="1" ht="15.2" customHeight="1">
      <c r="A48" s="954"/>
      <c r="B48" s="973"/>
      <c r="C48" s="976"/>
      <c r="D48" s="979"/>
      <c r="E48" s="954"/>
      <c r="F48" s="982"/>
      <c r="G48" s="973"/>
      <c r="H48" s="548">
        <v>112289162</v>
      </c>
      <c r="I48" s="548">
        <v>48148365</v>
      </c>
      <c r="J48" s="959"/>
      <c r="K48" s="950"/>
      <c r="L48" s="950"/>
      <c r="M48" s="951"/>
      <c r="N48" s="951"/>
      <c r="O48" s="950"/>
      <c r="P48" s="950"/>
      <c r="Q48" s="951"/>
      <c r="R48" s="951"/>
      <c r="S48" s="950"/>
      <c r="T48" s="951"/>
      <c r="U48" s="951"/>
      <c r="V48" s="950"/>
      <c r="W48" s="951"/>
      <c r="X48" s="951"/>
    </row>
    <row r="49" spans="1:24" s="549" customFormat="1" ht="15.2" customHeight="1">
      <c r="A49" s="954"/>
      <c r="B49" s="973"/>
      <c r="C49" s="976"/>
      <c r="D49" s="979"/>
      <c r="E49" s="954"/>
      <c r="F49" s="982"/>
      <c r="G49" s="973"/>
      <c r="H49" s="548">
        <v>0</v>
      </c>
      <c r="I49" s="548">
        <v>0</v>
      </c>
      <c r="J49" s="548" t="s">
        <v>14</v>
      </c>
      <c r="K49" s="550">
        <f t="shared" ref="K49" si="12">L49+O49</f>
        <v>15884287</v>
      </c>
      <c r="L49" s="550">
        <f t="shared" ref="L49" si="13">M49+N49</f>
        <v>14846820</v>
      </c>
      <c r="M49" s="551">
        <v>541790</v>
      </c>
      <c r="N49" s="551">
        <v>14305030</v>
      </c>
      <c r="O49" s="550">
        <f t="shared" ref="O49" si="14">P49+S49+V49</f>
        <v>1037467</v>
      </c>
      <c r="P49" s="550">
        <f t="shared" ref="P49" si="15">Q49+R49</f>
        <v>0</v>
      </c>
      <c r="Q49" s="551">
        <v>0</v>
      </c>
      <c r="R49" s="551">
        <v>0</v>
      </c>
      <c r="S49" s="550">
        <f t="shared" ref="S49" si="16">T49+U49</f>
        <v>1037467</v>
      </c>
      <c r="T49" s="551">
        <v>95610</v>
      </c>
      <c r="U49" s="551">
        <v>941857</v>
      </c>
      <c r="V49" s="550">
        <f t="shared" ref="V49" si="17">W49+X49</f>
        <v>0</v>
      </c>
      <c r="W49" s="551">
        <v>0</v>
      </c>
      <c r="X49" s="551">
        <v>0</v>
      </c>
    </row>
    <row r="50" spans="1:24" s="549" customFormat="1" ht="15.2" customHeight="1">
      <c r="A50" s="954"/>
      <c r="B50" s="973"/>
      <c r="C50" s="976"/>
      <c r="D50" s="979"/>
      <c r="E50" s="954"/>
      <c r="F50" s="982"/>
      <c r="G50" s="973"/>
      <c r="H50" s="548">
        <v>4300801</v>
      </c>
      <c r="I50" s="548">
        <v>1748350</v>
      </c>
      <c r="J50" s="958" t="s">
        <v>15</v>
      </c>
      <c r="K50" s="950">
        <f t="shared" ref="K50:X50" si="18">K47+K49</f>
        <v>49409736</v>
      </c>
      <c r="L50" s="950">
        <f t="shared" si="18"/>
        <v>47883011</v>
      </c>
      <c r="M50" s="951">
        <f t="shared" si="18"/>
        <v>1550774</v>
      </c>
      <c r="N50" s="951">
        <f t="shared" si="18"/>
        <v>46332237</v>
      </c>
      <c r="O50" s="950">
        <f t="shared" si="18"/>
        <v>1526725</v>
      </c>
      <c r="P50" s="950">
        <f t="shared" si="18"/>
        <v>0</v>
      </c>
      <c r="Q50" s="951">
        <f t="shared" si="18"/>
        <v>0</v>
      </c>
      <c r="R50" s="951">
        <f t="shared" si="18"/>
        <v>0</v>
      </c>
      <c r="S50" s="950">
        <f t="shared" si="18"/>
        <v>1468725</v>
      </c>
      <c r="T50" s="951">
        <f t="shared" si="18"/>
        <v>215668</v>
      </c>
      <c r="U50" s="951">
        <f t="shared" si="18"/>
        <v>1253057</v>
      </c>
      <c r="V50" s="950">
        <f t="shared" si="18"/>
        <v>58000</v>
      </c>
      <c r="W50" s="951">
        <f t="shared" si="18"/>
        <v>58000</v>
      </c>
      <c r="X50" s="951">
        <f t="shared" si="18"/>
        <v>0</v>
      </c>
    </row>
    <row r="51" spans="1:24" s="549" customFormat="1" ht="15.2" customHeight="1">
      <c r="A51" s="954"/>
      <c r="B51" s="974"/>
      <c r="C51" s="977"/>
      <c r="D51" s="980"/>
      <c r="E51" s="954"/>
      <c r="F51" s="983"/>
      <c r="G51" s="974"/>
      <c r="H51" s="548">
        <v>284435</v>
      </c>
      <c r="I51" s="548">
        <v>69453</v>
      </c>
      <c r="J51" s="959"/>
      <c r="K51" s="950"/>
      <c r="L51" s="950"/>
      <c r="M51" s="951"/>
      <c r="N51" s="951"/>
      <c r="O51" s="950"/>
      <c r="P51" s="950"/>
      <c r="Q51" s="951"/>
      <c r="R51" s="951"/>
      <c r="S51" s="950"/>
      <c r="T51" s="951"/>
      <c r="U51" s="951"/>
      <c r="V51" s="950"/>
      <c r="W51" s="951"/>
      <c r="X51" s="951"/>
    </row>
    <row r="52" spans="1:24" s="549" customFormat="1" ht="15.2" customHeight="1">
      <c r="A52" s="954">
        <v>7</v>
      </c>
      <c r="B52" s="972" t="s">
        <v>729</v>
      </c>
      <c r="C52" s="975" t="s">
        <v>952</v>
      </c>
      <c r="D52" s="978" t="s">
        <v>727</v>
      </c>
      <c r="E52" s="954" t="s">
        <v>940</v>
      </c>
      <c r="F52" s="981" t="s">
        <v>953</v>
      </c>
      <c r="G52" s="972" t="s">
        <v>942</v>
      </c>
      <c r="H52" s="548">
        <f>H53+H54+H55+H56</f>
        <v>92909874</v>
      </c>
      <c r="I52" s="548">
        <f>I53+I54+I55+I56</f>
        <v>33074687</v>
      </c>
      <c r="J52" s="958" t="s">
        <v>13</v>
      </c>
      <c r="K52" s="950">
        <f t="shared" ref="K52" si="19">L52+O52</f>
        <v>15078189</v>
      </c>
      <c r="L52" s="950">
        <f t="shared" ref="L52" si="20">M52+N52</f>
        <v>14316461</v>
      </c>
      <c r="M52" s="951">
        <v>1766461</v>
      </c>
      <c r="N52" s="951">
        <v>12550000</v>
      </c>
      <c r="O52" s="950">
        <f t="shared" ref="O52" si="21">P52+S52+V52</f>
        <v>761728</v>
      </c>
      <c r="P52" s="950">
        <f t="shared" ref="P52" si="22">Q52+R52</f>
        <v>0</v>
      </c>
      <c r="Q52" s="951">
        <v>0</v>
      </c>
      <c r="R52" s="951">
        <v>0</v>
      </c>
      <c r="S52" s="950">
        <f t="shared" ref="S52" si="23">T52+U52</f>
        <v>761728</v>
      </c>
      <c r="T52" s="951">
        <v>311728</v>
      </c>
      <c r="U52" s="951">
        <v>450000</v>
      </c>
      <c r="V52" s="950">
        <f t="shared" ref="V52" si="24">W52+X52</f>
        <v>0</v>
      </c>
      <c r="W52" s="951">
        <v>0</v>
      </c>
      <c r="X52" s="951">
        <v>0</v>
      </c>
    </row>
    <row r="53" spans="1:24" s="549" customFormat="1" ht="15.2" customHeight="1">
      <c r="A53" s="954"/>
      <c r="B53" s="973"/>
      <c r="C53" s="976"/>
      <c r="D53" s="979"/>
      <c r="E53" s="954"/>
      <c r="F53" s="982"/>
      <c r="G53" s="973"/>
      <c r="H53" s="548">
        <v>87569378</v>
      </c>
      <c r="I53" s="548">
        <v>32605368</v>
      </c>
      <c r="J53" s="959"/>
      <c r="K53" s="950"/>
      <c r="L53" s="950"/>
      <c r="M53" s="951"/>
      <c r="N53" s="951"/>
      <c r="O53" s="950"/>
      <c r="P53" s="950"/>
      <c r="Q53" s="951"/>
      <c r="R53" s="951"/>
      <c r="S53" s="950"/>
      <c r="T53" s="951"/>
      <c r="U53" s="951"/>
      <c r="V53" s="950"/>
      <c r="W53" s="951"/>
      <c r="X53" s="951"/>
    </row>
    <row r="54" spans="1:24" s="549" customFormat="1" ht="15.2" customHeight="1">
      <c r="A54" s="954"/>
      <c r="B54" s="973"/>
      <c r="C54" s="976"/>
      <c r="D54" s="979"/>
      <c r="E54" s="954"/>
      <c r="F54" s="982"/>
      <c r="G54" s="973"/>
      <c r="H54" s="548">
        <v>0</v>
      </c>
      <c r="I54" s="548">
        <v>0</v>
      </c>
      <c r="J54" s="548" t="s">
        <v>14</v>
      </c>
      <c r="K54" s="550">
        <f t="shared" ref="K54" si="25">L54+O54</f>
        <v>16117900</v>
      </c>
      <c r="L54" s="550">
        <f t="shared" ref="L54" si="26">M54+N54</f>
        <v>15158215</v>
      </c>
      <c r="M54" s="551">
        <v>-524535</v>
      </c>
      <c r="N54" s="551">
        <v>15682750</v>
      </c>
      <c r="O54" s="550">
        <f t="shared" ref="O54" si="27">P54+S54+V54</f>
        <v>959685</v>
      </c>
      <c r="P54" s="550">
        <f t="shared" ref="P54" si="28">Q54+R54</f>
        <v>0</v>
      </c>
      <c r="Q54" s="551">
        <v>0</v>
      </c>
      <c r="R54" s="551">
        <v>0</v>
      </c>
      <c r="S54" s="550">
        <f t="shared" ref="S54" si="29">T54+U54</f>
        <v>959685</v>
      </c>
      <c r="T54" s="551">
        <v>-92565</v>
      </c>
      <c r="U54" s="551">
        <v>1052250</v>
      </c>
      <c r="V54" s="550">
        <f t="shared" ref="V54" si="30">W54+X54</f>
        <v>0</v>
      </c>
      <c r="W54" s="551">
        <v>0</v>
      </c>
      <c r="X54" s="551">
        <v>0</v>
      </c>
    </row>
    <row r="55" spans="1:24" s="549" customFormat="1" ht="15.2" customHeight="1">
      <c r="A55" s="954"/>
      <c r="B55" s="973"/>
      <c r="C55" s="976"/>
      <c r="D55" s="979"/>
      <c r="E55" s="954"/>
      <c r="F55" s="982"/>
      <c r="G55" s="973"/>
      <c r="H55" s="548">
        <v>5340496</v>
      </c>
      <c r="I55" s="548">
        <v>469319</v>
      </c>
      <c r="J55" s="958" t="s">
        <v>15</v>
      </c>
      <c r="K55" s="950">
        <f t="shared" ref="K55:X55" si="31">K52+K54</f>
        <v>31196089</v>
      </c>
      <c r="L55" s="950">
        <f t="shared" si="31"/>
        <v>29474676</v>
      </c>
      <c r="M55" s="951">
        <f t="shared" si="31"/>
        <v>1241926</v>
      </c>
      <c r="N55" s="951">
        <f t="shared" si="31"/>
        <v>28232750</v>
      </c>
      <c r="O55" s="950">
        <f t="shared" si="31"/>
        <v>1721413</v>
      </c>
      <c r="P55" s="950">
        <f t="shared" si="31"/>
        <v>0</v>
      </c>
      <c r="Q55" s="951">
        <f t="shared" si="31"/>
        <v>0</v>
      </c>
      <c r="R55" s="951">
        <f t="shared" si="31"/>
        <v>0</v>
      </c>
      <c r="S55" s="950">
        <f t="shared" si="31"/>
        <v>1721413</v>
      </c>
      <c r="T55" s="951">
        <f t="shared" si="31"/>
        <v>219163</v>
      </c>
      <c r="U55" s="951">
        <f t="shared" si="31"/>
        <v>1502250</v>
      </c>
      <c r="V55" s="950">
        <f t="shared" si="31"/>
        <v>0</v>
      </c>
      <c r="W55" s="951">
        <f t="shared" si="31"/>
        <v>0</v>
      </c>
      <c r="X55" s="951">
        <f t="shared" si="31"/>
        <v>0</v>
      </c>
    </row>
    <row r="56" spans="1:24" s="549" customFormat="1" ht="15.2" customHeight="1">
      <c r="A56" s="954"/>
      <c r="B56" s="974"/>
      <c r="C56" s="977"/>
      <c r="D56" s="980"/>
      <c r="E56" s="954"/>
      <c r="F56" s="983"/>
      <c r="G56" s="974"/>
      <c r="H56" s="548">
        <v>0</v>
      </c>
      <c r="I56" s="548">
        <v>0</v>
      </c>
      <c r="J56" s="959"/>
      <c r="K56" s="950"/>
      <c r="L56" s="950"/>
      <c r="M56" s="951"/>
      <c r="N56" s="951"/>
      <c r="O56" s="950"/>
      <c r="P56" s="950"/>
      <c r="Q56" s="951"/>
      <c r="R56" s="951"/>
      <c r="S56" s="950"/>
      <c r="T56" s="951"/>
      <c r="U56" s="951"/>
      <c r="V56" s="950"/>
      <c r="W56" s="951"/>
      <c r="X56" s="951"/>
    </row>
    <row r="57" spans="1:24" s="549" customFormat="1" ht="15.2" customHeight="1">
      <c r="A57" s="954">
        <v>8</v>
      </c>
      <c r="B57" s="972" t="s">
        <v>729</v>
      </c>
      <c r="C57" s="975" t="s">
        <v>952</v>
      </c>
      <c r="D57" s="978" t="s">
        <v>726</v>
      </c>
      <c r="E57" s="954" t="s">
        <v>940</v>
      </c>
      <c r="F57" s="981" t="s">
        <v>953</v>
      </c>
      <c r="G57" s="972" t="s">
        <v>945</v>
      </c>
      <c r="H57" s="548">
        <f>H58+H59+H60+H61</f>
        <v>21659380</v>
      </c>
      <c r="I57" s="548">
        <f>I58+I59+I60+I61</f>
        <v>0</v>
      </c>
      <c r="J57" s="958" t="s">
        <v>13</v>
      </c>
      <c r="K57" s="950">
        <f t="shared" ref="K57" si="32">L57+O57</f>
        <v>10700000</v>
      </c>
      <c r="L57" s="950">
        <f t="shared" ref="L57" si="33">M57+N57</f>
        <v>10595000</v>
      </c>
      <c r="M57" s="951">
        <v>595000</v>
      </c>
      <c r="N57" s="951">
        <v>10000000</v>
      </c>
      <c r="O57" s="950">
        <f t="shared" ref="O57" si="34">P57+S57+V57</f>
        <v>105000</v>
      </c>
      <c r="P57" s="950">
        <f t="shared" ref="P57" si="35">Q57+R57</f>
        <v>0</v>
      </c>
      <c r="Q57" s="951">
        <v>0</v>
      </c>
      <c r="R57" s="951">
        <v>0</v>
      </c>
      <c r="S57" s="950">
        <f t="shared" ref="S57" si="36">T57+U57</f>
        <v>105000</v>
      </c>
      <c r="T57" s="951">
        <v>105000</v>
      </c>
      <c r="U57" s="951">
        <v>0</v>
      </c>
      <c r="V57" s="950">
        <f t="shared" ref="V57" si="37">W57+X57</f>
        <v>0</v>
      </c>
      <c r="W57" s="951">
        <v>0</v>
      </c>
      <c r="X57" s="951">
        <v>0</v>
      </c>
    </row>
    <row r="58" spans="1:24" s="549" customFormat="1" ht="15.2" customHeight="1">
      <c r="A58" s="954"/>
      <c r="B58" s="973"/>
      <c r="C58" s="976"/>
      <c r="D58" s="979"/>
      <c r="E58" s="954"/>
      <c r="F58" s="982"/>
      <c r="G58" s="973"/>
      <c r="H58" s="548">
        <v>21457990</v>
      </c>
      <c r="I58" s="548">
        <v>0</v>
      </c>
      <c r="J58" s="959"/>
      <c r="K58" s="950"/>
      <c r="L58" s="950"/>
      <c r="M58" s="951"/>
      <c r="N58" s="951"/>
      <c r="O58" s="950"/>
      <c r="P58" s="950"/>
      <c r="Q58" s="951"/>
      <c r="R58" s="951"/>
      <c r="S58" s="950"/>
      <c r="T58" s="951"/>
      <c r="U58" s="951"/>
      <c r="V58" s="950"/>
      <c r="W58" s="951"/>
      <c r="X58" s="951"/>
    </row>
    <row r="59" spans="1:24" s="549" customFormat="1" ht="15.2" customHeight="1">
      <c r="A59" s="954"/>
      <c r="B59" s="973"/>
      <c r="C59" s="976"/>
      <c r="D59" s="979"/>
      <c r="E59" s="954"/>
      <c r="F59" s="982"/>
      <c r="G59" s="973"/>
      <c r="H59" s="548">
        <v>0</v>
      </c>
      <c r="I59" s="548">
        <v>0</v>
      </c>
      <c r="J59" s="548" t="s">
        <v>14</v>
      </c>
      <c r="K59" s="550">
        <f t="shared" ref="K59" si="38">L59+O59</f>
        <v>-133119</v>
      </c>
      <c r="L59" s="550">
        <f t="shared" ref="L59" si="39">M59+N59</f>
        <v>-113151</v>
      </c>
      <c r="M59" s="551">
        <v>-113151</v>
      </c>
      <c r="N59" s="551">
        <v>0</v>
      </c>
      <c r="O59" s="550">
        <f t="shared" ref="O59" si="40">P59+S59+V59</f>
        <v>-19968</v>
      </c>
      <c r="P59" s="550">
        <f t="shared" ref="P59" si="41">Q59+R59</f>
        <v>0</v>
      </c>
      <c r="Q59" s="551">
        <v>0</v>
      </c>
      <c r="R59" s="551">
        <v>0</v>
      </c>
      <c r="S59" s="550">
        <f t="shared" ref="S59" si="42">T59+U59</f>
        <v>-19968</v>
      </c>
      <c r="T59" s="551">
        <v>-19968</v>
      </c>
      <c r="U59" s="551">
        <v>0</v>
      </c>
      <c r="V59" s="550">
        <f t="shared" ref="V59" si="43">W59+X59</f>
        <v>0</v>
      </c>
      <c r="W59" s="551">
        <v>0</v>
      </c>
      <c r="X59" s="551">
        <v>0</v>
      </c>
    </row>
    <row r="60" spans="1:24" s="549" customFormat="1" ht="15.2" customHeight="1">
      <c r="A60" s="954"/>
      <c r="B60" s="973"/>
      <c r="C60" s="976"/>
      <c r="D60" s="979"/>
      <c r="E60" s="954"/>
      <c r="F60" s="982"/>
      <c r="G60" s="973"/>
      <c r="H60" s="548">
        <v>201390</v>
      </c>
      <c r="I60" s="548">
        <v>0</v>
      </c>
      <c r="J60" s="958" t="s">
        <v>15</v>
      </c>
      <c r="K60" s="950">
        <f t="shared" ref="K60:X60" si="44">K57+K59</f>
        <v>10566881</v>
      </c>
      <c r="L60" s="950">
        <f t="shared" si="44"/>
        <v>10481849</v>
      </c>
      <c r="M60" s="951">
        <f t="shared" si="44"/>
        <v>481849</v>
      </c>
      <c r="N60" s="951">
        <f t="shared" si="44"/>
        <v>10000000</v>
      </c>
      <c r="O60" s="950">
        <f t="shared" si="44"/>
        <v>85032</v>
      </c>
      <c r="P60" s="950">
        <f t="shared" si="44"/>
        <v>0</v>
      </c>
      <c r="Q60" s="951">
        <f t="shared" si="44"/>
        <v>0</v>
      </c>
      <c r="R60" s="951">
        <f t="shared" si="44"/>
        <v>0</v>
      </c>
      <c r="S60" s="950">
        <f t="shared" si="44"/>
        <v>85032</v>
      </c>
      <c r="T60" s="951">
        <f t="shared" si="44"/>
        <v>85032</v>
      </c>
      <c r="U60" s="951">
        <f t="shared" si="44"/>
        <v>0</v>
      </c>
      <c r="V60" s="950">
        <f t="shared" si="44"/>
        <v>0</v>
      </c>
      <c r="W60" s="951">
        <f t="shared" si="44"/>
        <v>0</v>
      </c>
      <c r="X60" s="951">
        <f t="shared" si="44"/>
        <v>0</v>
      </c>
    </row>
    <row r="61" spans="1:24" s="549" customFormat="1" ht="15.2" customHeight="1">
      <c r="A61" s="954"/>
      <c r="B61" s="974"/>
      <c r="C61" s="977"/>
      <c r="D61" s="980"/>
      <c r="E61" s="954"/>
      <c r="F61" s="983"/>
      <c r="G61" s="974"/>
      <c r="H61" s="548">
        <v>0</v>
      </c>
      <c r="I61" s="548">
        <v>0</v>
      </c>
      <c r="J61" s="959"/>
      <c r="K61" s="950"/>
      <c r="L61" s="950"/>
      <c r="M61" s="951"/>
      <c r="N61" s="951"/>
      <c r="O61" s="950"/>
      <c r="P61" s="950"/>
      <c r="Q61" s="951"/>
      <c r="R61" s="951"/>
      <c r="S61" s="950"/>
      <c r="T61" s="951"/>
      <c r="U61" s="951"/>
      <c r="V61" s="950"/>
      <c r="W61" s="951"/>
      <c r="X61" s="951"/>
    </row>
    <row r="62" spans="1:24" s="549" customFormat="1" ht="15.2" customHeight="1">
      <c r="A62" s="954">
        <v>9</v>
      </c>
      <c r="B62" s="972" t="s">
        <v>725</v>
      </c>
      <c r="C62" s="975" t="s">
        <v>954</v>
      </c>
      <c r="D62" s="978" t="s">
        <v>724</v>
      </c>
      <c r="E62" s="954" t="s">
        <v>940</v>
      </c>
      <c r="F62" s="981" t="s">
        <v>953</v>
      </c>
      <c r="G62" s="972" t="s">
        <v>942</v>
      </c>
      <c r="H62" s="548">
        <f>H63+H64+H65+H66</f>
        <v>22825770</v>
      </c>
      <c r="I62" s="548">
        <f>I63+I64+I65+I66</f>
        <v>7433473</v>
      </c>
      <c r="J62" s="958" t="s">
        <v>13</v>
      </c>
      <c r="K62" s="950">
        <f t="shared" ref="K62" si="45">L62+O62</f>
        <v>7618713</v>
      </c>
      <c r="L62" s="950">
        <f t="shared" ref="L62" si="46">M62+N62</f>
        <v>7092448</v>
      </c>
      <c r="M62" s="951">
        <v>689720</v>
      </c>
      <c r="N62" s="951">
        <v>6402728</v>
      </c>
      <c r="O62" s="950">
        <f t="shared" ref="O62" si="47">P62+S62+V62</f>
        <v>526265</v>
      </c>
      <c r="P62" s="950">
        <f t="shared" ref="P62" si="48">Q62+R62</f>
        <v>0</v>
      </c>
      <c r="Q62" s="951">
        <v>0</v>
      </c>
      <c r="R62" s="951">
        <v>0</v>
      </c>
      <c r="S62" s="950">
        <f t="shared" ref="S62" si="49">T62+U62</f>
        <v>488765</v>
      </c>
      <c r="T62" s="951">
        <v>121715</v>
      </c>
      <c r="U62" s="951">
        <v>367050</v>
      </c>
      <c r="V62" s="950">
        <f t="shared" ref="V62" si="50">W62+X62</f>
        <v>37500</v>
      </c>
      <c r="W62" s="951">
        <v>0</v>
      </c>
      <c r="X62" s="951">
        <v>37500</v>
      </c>
    </row>
    <row r="63" spans="1:24" s="549" customFormat="1" ht="15.2" customHeight="1">
      <c r="A63" s="954"/>
      <c r="B63" s="973"/>
      <c r="C63" s="976"/>
      <c r="D63" s="979"/>
      <c r="E63" s="954"/>
      <c r="F63" s="982"/>
      <c r="G63" s="973"/>
      <c r="H63" s="548">
        <v>21574001</v>
      </c>
      <c r="I63" s="548">
        <v>7148583</v>
      </c>
      <c r="J63" s="959"/>
      <c r="K63" s="950"/>
      <c r="L63" s="950"/>
      <c r="M63" s="951"/>
      <c r="N63" s="951"/>
      <c r="O63" s="950"/>
      <c r="P63" s="950"/>
      <c r="Q63" s="951"/>
      <c r="R63" s="951"/>
      <c r="S63" s="950"/>
      <c r="T63" s="951"/>
      <c r="U63" s="951"/>
      <c r="V63" s="950"/>
      <c r="W63" s="951"/>
      <c r="X63" s="951"/>
    </row>
    <row r="64" spans="1:24" s="549" customFormat="1" ht="15.2" customHeight="1">
      <c r="A64" s="954"/>
      <c r="B64" s="973"/>
      <c r="C64" s="976"/>
      <c r="D64" s="979"/>
      <c r="E64" s="954"/>
      <c r="F64" s="982"/>
      <c r="G64" s="973"/>
      <c r="H64" s="548">
        <v>0</v>
      </c>
      <c r="I64" s="548">
        <v>0</v>
      </c>
      <c r="J64" s="548" t="s">
        <v>14</v>
      </c>
      <c r="K64" s="550">
        <f t="shared" ref="K64" si="51">L64+O64</f>
        <v>5203522</v>
      </c>
      <c r="L64" s="550">
        <f t="shared" ref="L64" si="52">M64+N64</f>
        <v>5062137</v>
      </c>
      <c r="M64" s="551">
        <v>11050</v>
      </c>
      <c r="N64" s="551">
        <v>5051087</v>
      </c>
      <c r="O64" s="550">
        <f t="shared" ref="O64" si="53">P64+S64+V64</f>
        <v>141385</v>
      </c>
      <c r="P64" s="550">
        <f t="shared" ref="P64" si="54">Q64+R64</f>
        <v>0</v>
      </c>
      <c r="Q64" s="551">
        <v>0</v>
      </c>
      <c r="R64" s="551">
        <v>0</v>
      </c>
      <c r="S64" s="550">
        <f t="shared" ref="S64" si="55">T64+U64</f>
        <v>153647</v>
      </c>
      <c r="T64" s="551">
        <v>1950</v>
      </c>
      <c r="U64" s="551">
        <v>151697</v>
      </c>
      <c r="V64" s="550">
        <f t="shared" ref="V64" si="56">W64+X64</f>
        <v>-12262</v>
      </c>
      <c r="W64" s="551">
        <v>0</v>
      </c>
      <c r="X64" s="551">
        <v>-12262</v>
      </c>
    </row>
    <row r="65" spans="1:24" s="549" customFormat="1" ht="15.2" customHeight="1">
      <c r="A65" s="954"/>
      <c r="B65" s="973"/>
      <c r="C65" s="976"/>
      <c r="D65" s="979"/>
      <c r="E65" s="954"/>
      <c r="F65" s="982"/>
      <c r="G65" s="973"/>
      <c r="H65" s="548">
        <v>1178524</v>
      </c>
      <c r="I65" s="548">
        <v>274383</v>
      </c>
      <c r="J65" s="958" t="s">
        <v>15</v>
      </c>
      <c r="K65" s="950">
        <f t="shared" ref="K65:X65" si="57">K62+K64</f>
        <v>12822235</v>
      </c>
      <c r="L65" s="950">
        <f t="shared" si="57"/>
        <v>12154585</v>
      </c>
      <c r="M65" s="951">
        <f t="shared" si="57"/>
        <v>700770</v>
      </c>
      <c r="N65" s="951">
        <f t="shared" si="57"/>
        <v>11453815</v>
      </c>
      <c r="O65" s="950">
        <f t="shared" si="57"/>
        <v>667650</v>
      </c>
      <c r="P65" s="950">
        <f t="shared" si="57"/>
        <v>0</v>
      </c>
      <c r="Q65" s="951">
        <f t="shared" si="57"/>
        <v>0</v>
      </c>
      <c r="R65" s="951">
        <f t="shared" si="57"/>
        <v>0</v>
      </c>
      <c r="S65" s="950">
        <f t="shared" si="57"/>
        <v>642412</v>
      </c>
      <c r="T65" s="951">
        <f t="shared" si="57"/>
        <v>123665</v>
      </c>
      <c r="U65" s="951">
        <f t="shared" si="57"/>
        <v>518747</v>
      </c>
      <c r="V65" s="950">
        <f t="shared" si="57"/>
        <v>25238</v>
      </c>
      <c r="W65" s="951">
        <f t="shared" si="57"/>
        <v>0</v>
      </c>
      <c r="X65" s="951">
        <f t="shared" si="57"/>
        <v>25238</v>
      </c>
    </row>
    <row r="66" spans="1:24" s="549" customFormat="1" ht="15.2" customHeight="1">
      <c r="A66" s="954"/>
      <c r="B66" s="974"/>
      <c r="C66" s="977"/>
      <c r="D66" s="980"/>
      <c r="E66" s="954"/>
      <c r="F66" s="983"/>
      <c r="G66" s="974"/>
      <c r="H66" s="548">
        <v>73245</v>
      </c>
      <c r="I66" s="548">
        <v>10507</v>
      </c>
      <c r="J66" s="959"/>
      <c r="K66" s="950"/>
      <c r="L66" s="950"/>
      <c r="M66" s="951"/>
      <c r="N66" s="951"/>
      <c r="O66" s="950"/>
      <c r="P66" s="950"/>
      <c r="Q66" s="951"/>
      <c r="R66" s="951"/>
      <c r="S66" s="950"/>
      <c r="T66" s="951"/>
      <c r="U66" s="951"/>
      <c r="V66" s="950"/>
      <c r="W66" s="951"/>
      <c r="X66" s="951"/>
    </row>
    <row r="67" spans="1:24" s="549" customFormat="1" ht="15.2" hidden="1" customHeight="1">
      <c r="A67" s="954">
        <v>10</v>
      </c>
      <c r="B67" s="955" t="s">
        <v>650</v>
      </c>
      <c r="C67" s="956" t="s">
        <v>955</v>
      </c>
      <c r="D67" s="957" t="s">
        <v>956</v>
      </c>
      <c r="E67" s="954" t="s">
        <v>957</v>
      </c>
      <c r="F67" s="954" t="s">
        <v>958</v>
      </c>
      <c r="G67" s="955" t="s">
        <v>959</v>
      </c>
      <c r="H67" s="548">
        <f>H68+H69+H70+H71</f>
        <v>669248</v>
      </c>
      <c r="I67" s="548">
        <f>I68+I69+I70+I71</f>
        <v>31617</v>
      </c>
      <c r="J67" s="958" t="s">
        <v>13</v>
      </c>
      <c r="K67" s="950">
        <f t="shared" ref="K67" si="58">L67+O67</f>
        <v>637631</v>
      </c>
      <c r="L67" s="950">
        <f t="shared" ref="L67" si="59">M67+N67</f>
        <v>509996</v>
      </c>
      <c r="M67" s="951">
        <v>0</v>
      </c>
      <c r="N67" s="951">
        <v>509996</v>
      </c>
      <c r="O67" s="950">
        <f t="shared" ref="O67" si="60">P67+S67+V67</f>
        <v>127635</v>
      </c>
      <c r="P67" s="950">
        <f t="shared" ref="P67" si="61">Q67+R67</f>
        <v>0</v>
      </c>
      <c r="Q67" s="951">
        <v>0</v>
      </c>
      <c r="R67" s="951">
        <v>0</v>
      </c>
      <c r="S67" s="950">
        <f t="shared" ref="S67" si="62">T67+U67</f>
        <v>127635</v>
      </c>
      <c r="T67" s="951">
        <v>0</v>
      </c>
      <c r="U67" s="951">
        <v>127635</v>
      </c>
      <c r="V67" s="950">
        <f t="shared" ref="V67" si="63">W67+X67</f>
        <v>0</v>
      </c>
      <c r="W67" s="951">
        <v>0</v>
      </c>
      <c r="X67" s="951">
        <v>0</v>
      </c>
    </row>
    <row r="68" spans="1:24" s="549" customFormat="1" ht="15.2" hidden="1" customHeight="1">
      <c r="A68" s="954"/>
      <c r="B68" s="955"/>
      <c r="C68" s="956"/>
      <c r="D68" s="957"/>
      <c r="E68" s="954"/>
      <c r="F68" s="954"/>
      <c r="G68" s="955"/>
      <c r="H68" s="548">
        <v>534806</v>
      </c>
      <c r="I68" s="548">
        <v>24810</v>
      </c>
      <c r="J68" s="959"/>
      <c r="K68" s="950"/>
      <c r="L68" s="950"/>
      <c r="M68" s="951"/>
      <c r="N68" s="951"/>
      <c r="O68" s="950"/>
      <c r="P68" s="950"/>
      <c r="Q68" s="951"/>
      <c r="R68" s="951"/>
      <c r="S68" s="950"/>
      <c r="T68" s="951"/>
      <c r="U68" s="951"/>
      <c r="V68" s="950"/>
      <c r="W68" s="951"/>
      <c r="X68" s="951"/>
    </row>
    <row r="69" spans="1:24" s="549" customFormat="1" ht="15.2" hidden="1" customHeight="1">
      <c r="A69" s="954"/>
      <c r="B69" s="955"/>
      <c r="C69" s="956"/>
      <c r="D69" s="957"/>
      <c r="E69" s="954"/>
      <c r="F69" s="954"/>
      <c r="G69" s="955"/>
      <c r="H69" s="548">
        <v>0</v>
      </c>
      <c r="I69" s="548">
        <v>0</v>
      </c>
      <c r="J69" s="548" t="s">
        <v>14</v>
      </c>
      <c r="K69" s="550">
        <f t="shared" ref="K69" si="64">L69+O69</f>
        <v>0</v>
      </c>
      <c r="L69" s="550">
        <f t="shared" ref="L69" si="65">M69+N69</f>
        <v>0</v>
      </c>
      <c r="M69" s="551">
        <v>0</v>
      </c>
      <c r="N69" s="551">
        <v>0</v>
      </c>
      <c r="O69" s="550">
        <f t="shared" ref="O69" si="66">P69+S69+V69</f>
        <v>0</v>
      </c>
      <c r="P69" s="550">
        <f t="shared" ref="P69" si="67">Q69+R69</f>
        <v>0</v>
      </c>
      <c r="Q69" s="551">
        <v>0</v>
      </c>
      <c r="R69" s="551">
        <v>0</v>
      </c>
      <c r="S69" s="550">
        <f t="shared" ref="S69" si="68">T69+U69</f>
        <v>0</v>
      </c>
      <c r="T69" s="551">
        <v>0</v>
      </c>
      <c r="U69" s="551">
        <v>0</v>
      </c>
      <c r="V69" s="550">
        <f t="shared" ref="V69" si="69">W69+X69</f>
        <v>0</v>
      </c>
      <c r="W69" s="551">
        <v>0</v>
      </c>
      <c r="X69" s="551">
        <v>0</v>
      </c>
    </row>
    <row r="70" spans="1:24" s="549" customFormat="1" ht="15.2" hidden="1" customHeight="1">
      <c r="A70" s="954"/>
      <c r="B70" s="955"/>
      <c r="C70" s="956"/>
      <c r="D70" s="957"/>
      <c r="E70" s="954"/>
      <c r="F70" s="954"/>
      <c r="G70" s="955"/>
      <c r="H70" s="548">
        <v>134442</v>
      </c>
      <c r="I70" s="548">
        <v>6807</v>
      </c>
      <c r="J70" s="958" t="s">
        <v>15</v>
      </c>
      <c r="K70" s="950">
        <f t="shared" ref="K70:X70" si="70">K67+K69</f>
        <v>637631</v>
      </c>
      <c r="L70" s="950">
        <f t="shared" si="70"/>
        <v>509996</v>
      </c>
      <c r="M70" s="951">
        <f t="shared" si="70"/>
        <v>0</v>
      </c>
      <c r="N70" s="951">
        <f t="shared" si="70"/>
        <v>509996</v>
      </c>
      <c r="O70" s="950">
        <f t="shared" si="70"/>
        <v>127635</v>
      </c>
      <c r="P70" s="950">
        <f t="shared" si="70"/>
        <v>0</v>
      </c>
      <c r="Q70" s="951">
        <f t="shared" si="70"/>
        <v>0</v>
      </c>
      <c r="R70" s="951">
        <f t="shared" si="70"/>
        <v>0</v>
      </c>
      <c r="S70" s="950">
        <f t="shared" si="70"/>
        <v>127635</v>
      </c>
      <c r="T70" s="951">
        <f t="shared" si="70"/>
        <v>0</v>
      </c>
      <c r="U70" s="951">
        <f t="shared" si="70"/>
        <v>127635</v>
      </c>
      <c r="V70" s="950">
        <f t="shared" si="70"/>
        <v>0</v>
      </c>
      <c r="W70" s="951">
        <f t="shared" si="70"/>
        <v>0</v>
      </c>
      <c r="X70" s="951">
        <f t="shared" si="70"/>
        <v>0</v>
      </c>
    </row>
    <row r="71" spans="1:24" s="549" customFormat="1" ht="15.2" hidden="1" customHeight="1">
      <c r="A71" s="954"/>
      <c r="B71" s="955"/>
      <c r="C71" s="956"/>
      <c r="D71" s="957"/>
      <c r="E71" s="954"/>
      <c r="F71" s="954"/>
      <c r="G71" s="955"/>
      <c r="H71" s="548">
        <v>0</v>
      </c>
      <c r="I71" s="548">
        <v>0</v>
      </c>
      <c r="J71" s="959"/>
      <c r="K71" s="950"/>
      <c r="L71" s="950"/>
      <c r="M71" s="951"/>
      <c r="N71" s="951"/>
      <c r="O71" s="950"/>
      <c r="P71" s="950"/>
      <c r="Q71" s="951"/>
      <c r="R71" s="951"/>
      <c r="S71" s="950"/>
      <c r="T71" s="951"/>
      <c r="U71" s="951"/>
      <c r="V71" s="950"/>
      <c r="W71" s="951"/>
      <c r="X71" s="951"/>
    </row>
    <row r="72" spans="1:24" s="549" customFormat="1" ht="16.5" hidden="1" customHeight="1">
      <c r="A72" s="954">
        <v>11</v>
      </c>
      <c r="B72" s="955" t="s">
        <v>655</v>
      </c>
      <c r="C72" s="956" t="s">
        <v>960</v>
      </c>
      <c r="D72" s="957" t="s">
        <v>961</v>
      </c>
      <c r="E72" s="954" t="s">
        <v>962</v>
      </c>
      <c r="F72" s="954" t="s">
        <v>963</v>
      </c>
      <c r="G72" s="955" t="s">
        <v>964</v>
      </c>
      <c r="H72" s="548">
        <f>H73+H74+H75+H76</f>
        <v>3687356</v>
      </c>
      <c r="I72" s="548">
        <f>I73+I74+I75+I76</f>
        <v>1170705</v>
      </c>
      <c r="J72" s="958" t="s">
        <v>13</v>
      </c>
      <c r="K72" s="950">
        <f t="shared" ref="K72" si="71">L72+O72</f>
        <v>2516651</v>
      </c>
      <c r="L72" s="950">
        <f t="shared" ref="L72" si="72">M72+N72</f>
        <v>1605222</v>
      </c>
      <c r="M72" s="951">
        <v>0</v>
      </c>
      <c r="N72" s="951">
        <v>1605222</v>
      </c>
      <c r="O72" s="950">
        <f t="shared" ref="O72" si="73">P72+S72+V72</f>
        <v>911429</v>
      </c>
      <c r="P72" s="950">
        <f t="shared" ref="P72" si="74">Q72+R72</f>
        <v>0</v>
      </c>
      <c r="Q72" s="951">
        <v>0</v>
      </c>
      <c r="R72" s="951">
        <v>0</v>
      </c>
      <c r="S72" s="950">
        <f t="shared" ref="S72" si="75">T72+U72</f>
        <v>628155</v>
      </c>
      <c r="T72" s="951">
        <v>0</v>
      </c>
      <c r="U72" s="951">
        <v>628155</v>
      </c>
      <c r="V72" s="950">
        <f t="shared" ref="V72" si="76">W72+X72</f>
        <v>283274</v>
      </c>
      <c r="W72" s="951">
        <v>0</v>
      </c>
      <c r="X72" s="951">
        <v>283274</v>
      </c>
    </row>
    <row r="73" spans="1:24" s="549" customFormat="1" ht="16.5" hidden="1" customHeight="1">
      <c r="A73" s="954"/>
      <c r="B73" s="955"/>
      <c r="C73" s="956"/>
      <c r="D73" s="957"/>
      <c r="E73" s="954"/>
      <c r="F73" s="954"/>
      <c r="G73" s="955"/>
      <c r="H73" s="548">
        <v>2371939</v>
      </c>
      <c r="I73" s="548">
        <v>766717</v>
      </c>
      <c r="J73" s="959"/>
      <c r="K73" s="950"/>
      <c r="L73" s="950"/>
      <c r="M73" s="951"/>
      <c r="N73" s="951"/>
      <c r="O73" s="950"/>
      <c r="P73" s="950"/>
      <c r="Q73" s="951"/>
      <c r="R73" s="951"/>
      <c r="S73" s="950"/>
      <c r="T73" s="951"/>
      <c r="U73" s="951"/>
      <c r="V73" s="950"/>
      <c r="W73" s="951"/>
      <c r="X73" s="951"/>
    </row>
    <row r="74" spans="1:24" s="549" customFormat="1" ht="16.5" hidden="1" customHeight="1">
      <c r="A74" s="954"/>
      <c r="B74" s="955"/>
      <c r="C74" s="956"/>
      <c r="D74" s="957"/>
      <c r="E74" s="954"/>
      <c r="F74" s="954"/>
      <c r="G74" s="955"/>
      <c r="H74" s="548">
        <v>0</v>
      </c>
      <c r="I74" s="548">
        <v>0</v>
      </c>
      <c r="J74" s="548" t="s">
        <v>14</v>
      </c>
      <c r="K74" s="550">
        <f t="shared" ref="K74" si="77">L74+O74</f>
        <v>0</v>
      </c>
      <c r="L74" s="550">
        <f t="shared" ref="L74" si="78">M74+N74</f>
        <v>0</v>
      </c>
      <c r="M74" s="551">
        <v>0</v>
      </c>
      <c r="N74" s="551">
        <v>0</v>
      </c>
      <c r="O74" s="550">
        <f t="shared" ref="O74" si="79">P74+S74+V74</f>
        <v>0</v>
      </c>
      <c r="P74" s="550">
        <f t="shared" ref="P74" si="80">Q74+R74</f>
        <v>0</v>
      </c>
      <c r="Q74" s="551">
        <v>0</v>
      </c>
      <c r="R74" s="551">
        <v>0</v>
      </c>
      <c r="S74" s="550">
        <f t="shared" ref="S74" si="81">T74+U74</f>
        <v>0</v>
      </c>
      <c r="T74" s="551">
        <v>0</v>
      </c>
      <c r="U74" s="551">
        <v>0</v>
      </c>
      <c r="V74" s="550">
        <f t="shared" ref="V74" si="82">W74+X74</f>
        <v>0</v>
      </c>
      <c r="W74" s="551">
        <v>0</v>
      </c>
      <c r="X74" s="551">
        <v>0</v>
      </c>
    </row>
    <row r="75" spans="1:24" s="549" customFormat="1" ht="16.5" hidden="1" customHeight="1">
      <c r="A75" s="954"/>
      <c r="B75" s="955"/>
      <c r="C75" s="956"/>
      <c r="D75" s="957"/>
      <c r="E75" s="954"/>
      <c r="F75" s="954"/>
      <c r="G75" s="955"/>
      <c r="H75" s="548">
        <v>762313</v>
      </c>
      <c r="I75" s="548">
        <v>134158</v>
      </c>
      <c r="J75" s="958" t="s">
        <v>15</v>
      </c>
      <c r="K75" s="950">
        <f t="shared" ref="K75:X75" si="83">K72+K74</f>
        <v>2516651</v>
      </c>
      <c r="L75" s="950">
        <f t="shared" si="83"/>
        <v>1605222</v>
      </c>
      <c r="M75" s="951">
        <f t="shared" si="83"/>
        <v>0</v>
      </c>
      <c r="N75" s="951">
        <f t="shared" si="83"/>
        <v>1605222</v>
      </c>
      <c r="O75" s="950">
        <f t="shared" si="83"/>
        <v>911429</v>
      </c>
      <c r="P75" s="950">
        <f t="shared" si="83"/>
        <v>0</v>
      </c>
      <c r="Q75" s="951">
        <f t="shared" si="83"/>
        <v>0</v>
      </c>
      <c r="R75" s="951">
        <f t="shared" si="83"/>
        <v>0</v>
      </c>
      <c r="S75" s="950">
        <f t="shared" si="83"/>
        <v>628155</v>
      </c>
      <c r="T75" s="951">
        <f t="shared" si="83"/>
        <v>0</v>
      </c>
      <c r="U75" s="951">
        <f t="shared" si="83"/>
        <v>628155</v>
      </c>
      <c r="V75" s="950">
        <f t="shared" si="83"/>
        <v>283274</v>
      </c>
      <c r="W75" s="951">
        <f t="shared" si="83"/>
        <v>0</v>
      </c>
      <c r="X75" s="951">
        <f t="shared" si="83"/>
        <v>283274</v>
      </c>
    </row>
    <row r="76" spans="1:24" s="549" customFormat="1" ht="16.5" hidden="1" customHeight="1">
      <c r="A76" s="954"/>
      <c r="B76" s="955"/>
      <c r="C76" s="956"/>
      <c r="D76" s="957"/>
      <c r="E76" s="954"/>
      <c r="F76" s="954"/>
      <c r="G76" s="955"/>
      <c r="H76" s="548">
        <v>553104</v>
      </c>
      <c r="I76" s="548">
        <v>269830</v>
      </c>
      <c r="J76" s="959"/>
      <c r="K76" s="950"/>
      <c r="L76" s="950"/>
      <c r="M76" s="951"/>
      <c r="N76" s="951"/>
      <c r="O76" s="950"/>
      <c r="P76" s="950"/>
      <c r="Q76" s="951"/>
      <c r="R76" s="951"/>
      <c r="S76" s="950"/>
      <c r="T76" s="951"/>
      <c r="U76" s="951"/>
      <c r="V76" s="950"/>
      <c r="W76" s="951"/>
      <c r="X76" s="951"/>
    </row>
    <row r="77" spans="1:24" s="549" customFormat="1" ht="15.75" customHeight="1">
      <c r="A77" s="954">
        <v>10</v>
      </c>
      <c r="B77" s="975" t="s">
        <v>655</v>
      </c>
      <c r="C77" s="975" t="s">
        <v>960</v>
      </c>
      <c r="D77" s="978" t="s">
        <v>965</v>
      </c>
      <c r="E77" s="954" t="s">
        <v>940</v>
      </c>
      <c r="F77" s="981" t="s">
        <v>966</v>
      </c>
      <c r="G77" s="972" t="s">
        <v>959</v>
      </c>
      <c r="H77" s="548">
        <f>H78+H79+H80+H81</f>
        <v>1494024</v>
      </c>
      <c r="I77" s="548">
        <f>I78+I79+I80+I81</f>
        <v>0</v>
      </c>
      <c r="J77" s="958" t="s">
        <v>13</v>
      </c>
      <c r="K77" s="950">
        <f t="shared" ref="K77" si="84">L77+O77</f>
        <v>1467400</v>
      </c>
      <c r="L77" s="950">
        <f t="shared" ref="L77" si="85">M77+N77</f>
        <v>933937</v>
      </c>
      <c r="M77" s="951">
        <v>0</v>
      </c>
      <c r="N77" s="951">
        <v>933937</v>
      </c>
      <c r="O77" s="950">
        <f t="shared" ref="O77" si="86">P77+S77+V77</f>
        <v>533463</v>
      </c>
      <c r="P77" s="950">
        <f t="shared" ref="P77" si="87">Q77+R77</f>
        <v>0</v>
      </c>
      <c r="Q77" s="951">
        <v>0</v>
      </c>
      <c r="R77" s="951">
        <v>0</v>
      </c>
      <c r="S77" s="950">
        <f t="shared" ref="S77" si="88">T77+U77</f>
        <v>533463</v>
      </c>
      <c r="T77" s="951">
        <v>0</v>
      </c>
      <c r="U77" s="951">
        <v>533463</v>
      </c>
      <c r="V77" s="950">
        <f t="shared" ref="V77" si="89">W77+X77</f>
        <v>0</v>
      </c>
      <c r="W77" s="951">
        <v>0</v>
      </c>
      <c r="X77" s="951">
        <v>0</v>
      </c>
    </row>
    <row r="78" spans="1:24" s="549" customFormat="1" ht="15.75" customHeight="1">
      <c r="A78" s="954"/>
      <c r="B78" s="976"/>
      <c r="C78" s="976"/>
      <c r="D78" s="979"/>
      <c r="E78" s="954"/>
      <c r="F78" s="982"/>
      <c r="G78" s="973"/>
      <c r="H78" s="548">
        <v>795358</v>
      </c>
      <c r="I78" s="548">
        <v>0</v>
      </c>
      <c r="J78" s="959"/>
      <c r="K78" s="950"/>
      <c r="L78" s="950"/>
      <c r="M78" s="951"/>
      <c r="N78" s="951"/>
      <c r="O78" s="950"/>
      <c r="P78" s="950"/>
      <c r="Q78" s="951"/>
      <c r="R78" s="951"/>
      <c r="S78" s="950"/>
      <c r="T78" s="951"/>
      <c r="U78" s="951"/>
      <c r="V78" s="950"/>
      <c r="W78" s="951"/>
      <c r="X78" s="951"/>
    </row>
    <row r="79" spans="1:24" s="549" customFormat="1" ht="15.75" customHeight="1">
      <c r="A79" s="954"/>
      <c r="B79" s="976"/>
      <c r="C79" s="976"/>
      <c r="D79" s="979"/>
      <c r="E79" s="954"/>
      <c r="F79" s="982"/>
      <c r="G79" s="973"/>
      <c r="H79" s="548">
        <v>0</v>
      </c>
      <c r="I79" s="548">
        <v>0</v>
      </c>
      <c r="J79" s="548" t="s">
        <v>14</v>
      </c>
      <c r="K79" s="550">
        <f t="shared" ref="K79" si="90">L79+O79</f>
        <v>26624</v>
      </c>
      <c r="L79" s="550">
        <f t="shared" ref="L79" si="91">M79+N79</f>
        <v>-138579</v>
      </c>
      <c r="M79" s="551">
        <v>8347</v>
      </c>
      <c r="N79" s="551">
        <v>-146926</v>
      </c>
      <c r="O79" s="550">
        <f t="shared" ref="O79" si="92">P79+S79+V79</f>
        <v>165203</v>
      </c>
      <c r="P79" s="550">
        <f t="shared" ref="P79" si="93">Q79+R79</f>
        <v>0</v>
      </c>
      <c r="Q79" s="551">
        <v>0</v>
      </c>
      <c r="R79" s="551">
        <v>0</v>
      </c>
      <c r="S79" s="550">
        <f t="shared" ref="S79" si="94">T79+U79</f>
        <v>165203</v>
      </c>
      <c r="T79" s="551">
        <v>4768</v>
      </c>
      <c r="U79" s="551">
        <v>160435</v>
      </c>
      <c r="V79" s="550">
        <f t="shared" ref="V79" si="95">W79+X79</f>
        <v>0</v>
      </c>
      <c r="W79" s="551">
        <v>0</v>
      </c>
      <c r="X79" s="551">
        <v>0</v>
      </c>
    </row>
    <row r="80" spans="1:24" s="549" customFormat="1" ht="15.75" customHeight="1">
      <c r="A80" s="954"/>
      <c r="B80" s="976"/>
      <c r="C80" s="976"/>
      <c r="D80" s="979"/>
      <c r="E80" s="954"/>
      <c r="F80" s="982"/>
      <c r="G80" s="973"/>
      <c r="H80" s="548">
        <v>698666</v>
      </c>
      <c r="I80" s="548">
        <v>0</v>
      </c>
      <c r="J80" s="958" t="s">
        <v>15</v>
      </c>
      <c r="K80" s="950">
        <f t="shared" ref="K80:X80" si="96">K77+K79</f>
        <v>1494024</v>
      </c>
      <c r="L80" s="950">
        <f t="shared" si="96"/>
        <v>795358</v>
      </c>
      <c r="M80" s="951">
        <f t="shared" si="96"/>
        <v>8347</v>
      </c>
      <c r="N80" s="951">
        <f t="shared" si="96"/>
        <v>787011</v>
      </c>
      <c r="O80" s="950">
        <f t="shared" si="96"/>
        <v>698666</v>
      </c>
      <c r="P80" s="950">
        <f t="shared" si="96"/>
        <v>0</v>
      </c>
      <c r="Q80" s="951">
        <f t="shared" si="96"/>
        <v>0</v>
      </c>
      <c r="R80" s="951">
        <f t="shared" si="96"/>
        <v>0</v>
      </c>
      <c r="S80" s="950">
        <f t="shared" si="96"/>
        <v>698666</v>
      </c>
      <c r="T80" s="951">
        <f t="shared" si="96"/>
        <v>4768</v>
      </c>
      <c r="U80" s="951">
        <f t="shared" si="96"/>
        <v>693898</v>
      </c>
      <c r="V80" s="950">
        <f t="shared" si="96"/>
        <v>0</v>
      </c>
      <c r="W80" s="951">
        <f t="shared" si="96"/>
        <v>0</v>
      </c>
      <c r="X80" s="951">
        <f t="shared" si="96"/>
        <v>0</v>
      </c>
    </row>
    <row r="81" spans="1:24" s="549" customFormat="1" ht="15.75" customHeight="1">
      <c r="A81" s="954"/>
      <c r="B81" s="977"/>
      <c r="C81" s="977"/>
      <c r="D81" s="980"/>
      <c r="E81" s="954"/>
      <c r="F81" s="983"/>
      <c r="G81" s="974"/>
      <c r="H81" s="548">
        <v>0</v>
      </c>
      <c r="I81" s="548">
        <v>0</v>
      </c>
      <c r="J81" s="959"/>
      <c r="K81" s="950"/>
      <c r="L81" s="950"/>
      <c r="M81" s="951"/>
      <c r="N81" s="951"/>
      <c r="O81" s="950"/>
      <c r="P81" s="950"/>
      <c r="Q81" s="951"/>
      <c r="R81" s="951"/>
      <c r="S81" s="950"/>
      <c r="T81" s="951"/>
      <c r="U81" s="951"/>
      <c r="V81" s="950"/>
      <c r="W81" s="951"/>
      <c r="X81" s="951"/>
    </row>
    <row r="82" spans="1:24" s="549" customFormat="1" ht="15.75" hidden="1" customHeight="1">
      <c r="A82" s="954">
        <v>13</v>
      </c>
      <c r="B82" s="975" t="s">
        <v>655</v>
      </c>
      <c r="C82" s="975" t="s">
        <v>960</v>
      </c>
      <c r="D82" s="978" t="s">
        <v>967</v>
      </c>
      <c r="E82" s="954" t="s">
        <v>962</v>
      </c>
      <c r="F82" s="981" t="s">
        <v>966</v>
      </c>
      <c r="G82" s="972" t="s">
        <v>968</v>
      </c>
      <c r="H82" s="548">
        <f>H83+H84+H85+H86</f>
        <v>10061978</v>
      </c>
      <c r="I82" s="548">
        <f>I83+I84+I85+I86</f>
        <v>1389878</v>
      </c>
      <c r="J82" s="958" t="s">
        <v>13</v>
      </c>
      <c r="K82" s="950">
        <f t="shared" ref="K82" si="97">L82+O82</f>
        <v>8666654</v>
      </c>
      <c r="L82" s="950">
        <f t="shared" ref="L82" si="98">M82+N82</f>
        <v>6010969</v>
      </c>
      <c r="M82" s="951">
        <v>56251</v>
      </c>
      <c r="N82" s="951">
        <v>5954718</v>
      </c>
      <c r="O82" s="950">
        <f t="shared" ref="O82" si="99">P82+S82+V82</f>
        <v>2655685</v>
      </c>
      <c r="P82" s="950">
        <f t="shared" ref="P82" si="100">Q82+R82</f>
        <v>0</v>
      </c>
      <c r="Q82" s="951">
        <v>0</v>
      </c>
      <c r="R82" s="951">
        <v>0</v>
      </c>
      <c r="S82" s="950">
        <f t="shared" ref="S82" si="101">T82+U82</f>
        <v>1037537</v>
      </c>
      <c r="T82" s="951">
        <v>21875</v>
      </c>
      <c r="U82" s="951">
        <v>1015662</v>
      </c>
      <c r="V82" s="950">
        <f t="shared" ref="V82" si="102">W82+X82</f>
        <v>1618148</v>
      </c>
      <c r="W82" s="951">
        <v>0</v>
      </c>
      <c r="X82" s="951">
        <v>1618148</v>
      </c>
    </row>
    <row r="83" spans="1:24" s="549" customFormat="1" ht="15.75" hidden="1" customHeight="1">
      <c r="A83" s="954"/>
      <c r="B83" s="976"/>
      <c r="C83" s="976"/>
      <c r="D83" s="979"/>
      <c r="E83" s="954"/>
      <c r="F83" s="982"/>
      <c r="G83" s="973"/>
      <c r="H83" s="548">
        <v>6840891</v>
      </c>
      <c r="I83" s="548">
        <v>826001</v>
      </c>
      <c r="J83" s="959"/>
      <c r="K83" s="950"/>
      <c r="L83" s="950"/>
      <c r="M83" s="951"/>
      <c r="N83" s="951"/>
      <c r="O83" s="950"/>
      <c r="P83" s="950"/>
      <c r="Q83" s="951"/>
      <c r="R83" s="951"/>
      <c r="S83" s="950"/>
      <c r="T83" s="951"/>
      <c r="U83" s="951"/>
      <c r="V83" s="950"/>
      <c r="W83" s="951"/>
      <c r="X83" s="951"/>
    </row>
    <row r="84" spans="1:24" s="549" customFormat="1" ht="15.75" hidden="1" customHeight="1">
      <c r="A84" s="954"/>
      <c r="B84" s="976"/>
      <c r="C84" s="976"/>
      <c r="D84" s="979"/>
      <c r="E84" s="954"/>
      <c r="F84" s="982"/>
      <c r="G84" s="973"/>
      <c r="H84" s="548">
        <v>0</v>
      </c>
      <c r="I84" s="548">
        <v>0</v>
      </c>
      <c r="J84" s="548" t="s">
        <v>14</v>
      </c>
      <c r="K84" s="550">
        <f t="shared" ref="K84" si="103">L84+O84</f>
        <v>0</v>
      </c>
      <c r="L84" s="550">
        <f t="shared" ref="L84" si="104">M84+N84</f>
        <v>0</v>
      </c>
      <c r="M84" s="551">
        <v>0</v>
      </c>
      <c r="N84" s="551">
        <v>0</v>
      </c>
      <c r="O84" s="550">
        <f t="shared" ref="O84" si="105">P84+S84+V84</f>
        <v>0</v>
      </c>
      <c r="P84" s="550">
        <f t="shared" ref="P84" si="106">Q84+R84</f>
        <v>0</v>
      </c>
      <c r="Q84" s="551">
        <v>0</v>
      </c>
      <c r="R84" s="551">
        <v>0</v>
      </c>
      <c r="S84" s="550">
        <f t="shared" ref="S84" si="107">T84+U84</f>
        <v>0</v>
      </c>
      <c r="T84" s="551">
        <v>0</v>
      </c>
      <c r="U84" s="551">
        <v>0</v>
      </c>
      <c r="V84" s="550">
        <f t="shared" ref="V84" si="108">W84+X84</f>
        <v>0</v>
      </c>
      <c r="W84" s="551">
        <v>0</v>
      </c>
      <c r="X84" s="551">
        <v>0</v>
      </c>
    </row>
    <row r="85" spans="1:24" s="549" customFormat="1" ht="15.75" hidden="1" customHeight="1">
      <c r="A85" s="954"/>
      <c r="B85" s="976"/>
      <c r="C85" s="976"/>
      <c r="D85" s="979"/>
      <c r="E85" s="954"/>
      <c r="F85" s="982"/>
      <c r="G85" s="973"/>
      <c r="H85" s="548">
        <v>1261833</v>
      </c>
      <c r="I85" s="548">
        <v>222771</v>
      </c>
      <c r="J85" s="958" t="s">
        <v>15</v>
      </c>
      <c r="K85" s="950">
        <f t="shared" ref="K85:X85" si="109">K82+K84</f>
        <v>8666654</v>
      </c>
      <c r="L85" s="950">
        <f t="shared" si="109"/>
        <v>6010969</v>
      </c>
      <c r="M85" s="951">
        <f t="shared" si="109"/>
        <v>56251</v>
      </c>
      <c r="N85" s="951">
        <f t="shared" si="109"/>
        <v>5954718</v>
      </c>
      <c r="O85" s="950">
        <f t="shared" si="109"/>
        <v>2655685</v>
      </c>
      <c r="P85" s="950">
        <f t="shared" si="109"/>
        <v>0</v>
      </c>
      <c r="Q85" s="951">
        <f t="shared" si="109"/>
        <v>0</v>
      </c>
      <c r="R85" s="951">
        <f t="shared" si="109"/>
        <v>0</v>
      </c>
      <c r="S85" s="950">
        <f t="shared" si="109"/>
        <v>1037537</v>
      </c>
      <c r="T85" s="951">
        <f t="shared" si="109"/>
        <v>21875</v>
      </c>
      <c r="U85" s="951">
        <f t="shared" si="109"/>
        <v>1015662</v>
      </c>
      <c r="V85" s="950">
        <f t="shared" si="109"/>
        <v>1618148</v>
      </c>
      <c r="W85" s="951">
        <f t="shared" si="109"/>
        <v>0</v>
      </c>
      <c r="X85" s="951">
        <f t="shared" si="109"/>
        <v>1618148</v>
      </c>
    </row>
    <row r="86" spans="1:24" s="549" customFormat="1" ht="15.75" hidden="1" customHeight="1">
      <c r="A86" s="954"/>
      <c r="B86" s="977"/>
      <c r="C86" s="977"/>
      <c r="D86" s="980"/>
      <c r="E86" s="954"/>
      <c r="F86" s="983"/>
      <c r="G86" s="974"/>
      <c r="H86" s="548">
        <v>1959254</v>
      </c>
      <c r="I86" s="548">
        <v>341106</v>
      </c>
      <c r="J86" s="959"/>
      <c r="K86" s="950"/>
      <c r="L86" s="950"/>
      <c r="M86" s="951"/>
      <c r="N86" s="951"/>
      <c r="O86" s="950"/>
      <c r="P86" s="950"/>
      <c r="Q86" s="951"/>
      <c r="R86" s="951"/>
      <c r="S86" s="950"/>
      <c r="T86" s="951"/>
      <c r="U86" s="951"/>
      <c r="V86" s="950"/>
      <c r="W86" s="951"/>
      <c r="X86" s="951"/>
    </row>
    <row r="87" spans="1:24" s="549" customFormat="1" ht="15.75" customHeight="1">
      <c r="A87" s="954">
        <v>11</v>
      </c>
      <c r="B87" s="975" t="s">
        <v>655</v>
      </c>
      <c r="C87" s="975" t="s">
        <v>960</v>
      </c>
      <c r="D87" s="978" t="s">
        <v>969</v>
      </c>
      <c r="E87" s="954" t="s">
        <v>962</v>
      </c>
      <c r="F87" s="981" t="s">
        <v>966</v>
      </c>
      <c r="G87" s="972" t="s">
        <v>968</v>
      </c>
      <c r="H87" s="548">
        <f>H88+H89+H90+H91</f>
        <v>10016096</v>
      </c>
      <c r="I87" s="548">
        <f>I88+I89+I90+I91</f>
        <v>709425</v>
      </c>
      <c r="J87" s="958" t="s">
        <v>13</v>
      </c>
      <c r="K87" s="950">
        <f t="shared" ref="K87" si="110">L87+O87</f>
        <v>7547639</v>
      </c>
      <c r="L87" s="950">
        <f t="shared" ref="L87" si="111">M87+N87</f>
        <v>5456649</v>
      </c>
      <c r="M87" s="951">
        <v>54456</v>
      </c>
      <c r="N87" s="951">
        <v>5402193</v>
      </c>
      <c r="O87" s="950">
        <f t="shared" ref="O87" si="112">P87+S87+V87</f>
        <v>2090990</v>
      </c>
      <c r="P87" s="950">
        <f t="shared" ref="P87" si="113">Q87+R87</f>
        <v>0</v>
      </c>
      <c r="Q87" s="951">
        <v>0</v>
      </c>
      <c r="R87" s="951">
        <v>0</v>
      </c>
      <c r="S87" s="950">
        <f t="shared" ref="S87" si="114">T87+U87</f>
        <v>836070</v>
      </c>
      <c r="T87" s="951">
        <v>21177</v>
      </c>
      <c r="U87" s="951">
        <v>814893</v>
      </c>
      <c r="V87" s="950">
        <f t="shared" ref="V87" si="115">W87+X87</f>
        <v>1254920</v>
      </c>
      <c r="W87" s="951">
        <v>0</v>
      </c>
      <c r="X87" s="951">
        <v>1254920</v>
      </c>
    </row>
    <row r="88" spans="1:24" s="549" customFormat="1" ht="15.75" customHeight="1">
      <c r="A88" s="954"/>
      <c r="B88" s="976"/>
      <c r="C88" s="976"/>
      <c r="D88" s="979"/>
      <c r="E88" s="954"/>
      <c r="F88" s="982"/>
      <c r="G88" s="973"/>
      <c r="H88" s="548">
        <v>6607490</v>
      </c>
      <c r="I88" s="548">
        <v>231299</v>
      </c>
      <c r="J88" s="959"/>
      <c r="K88" s="950"/>
      <c r="L88" s="950"/>
      <c r="M88" s="951"/>
      <c r="N88" s="951"/>
      <c r="O88" s="950"/>
      <c r="P88" s="950"/>
      <c r="Q88" s="951"/>
      <c r="R88" s="951"/>
      <c r="S88" s="950"/>
      <c r="T88" s="951"/>
      <c r="U88" s="951"/>
      <c r="V88" s="950"/>
      <c r="W88" s="951"/>
      <c r="X88" s="951"/>
    </row>
    <row r="89" spans="1:24" s="549" customFormat="1" ht="15.75" customHeight="1">
      <c r="A89" s="954"/>
      <c r="B89" s="976"/>
      <c r="C89" s="976"/>
      <c r="D89" s="979"/>
      <c r="E89" s="954"/>
      <c r="F89" s="982"/>
      <c r="G89" s="973"/>
      <c r="H89" s="548">
        <v>0</v>
      </c>
      <c r="I89" s="548">
        <v>0</v>
      </c>
      <c r="J89" s="548" t="s">
        <v>14</v>
      </c>
      <c r="K89" s="550">
        <f t="shared" ref="K89" si="116">L89+O89</f>
        <v>1724674</v>
      </c>
      <c r="L89" s="550">
        <f t="shared" ref="L89" si="117">M89+N89</f>
        <v>894804</v>
      </c>
      <c r="M89" s="551">
        <v>-12330</v>
      </c>
      <c r="N89" s="551">
        <v>907134</v>
      </c>
      <c r="O89" s="550">
        <f t="shared" ref="O89" si="118">P89+S89+V89</f>
        <v>829870</v>
      </c>
      <c r="P89" s="550">
        <f t="shared" ref="P89" si="119">Q89+R89</f>
        <v>0</v>
      </c>
      <c r="Q89" s="551">
        <v>0</v>
      </c>
      <c r="R89" s="551">
        <v>0</v>
      </c>
      <c r="S89" s="550">
        <f t="shared" ref="S89" si="120">T89+U89</f>
        <v>598185</v>
      </c>
      <c r="T89" s="551">
        <v>-4794</v>
      </c>
      <c r="U89" s="551">
        <v>602979</v>
      </c>
      <c r="V89" s="550">
        <f t="shared" ref="V89" si="121">W89+X89</f>
        <v>231685</v>
      </c>
      <c r="W89" s="551">
        <v>0</v>
      </c>
      <c r="X89" s="551">
        <v>231685</v>
      </c>
    </row>
    <row r="90" spans="1:24" s="549" customFormat="1" ht="15.75" customHeight="1">
      <c r="A90" s="954"/>
      <c r="B90" s="976"/>
      <c r="C90" s="976"/>
      <c r="D90" s="979"/>
      <c r="E90" s="954"/>
      <c r="F90" s="982"/>
      <c r="G90" s="973"/>
      <c r="H90" s="548">
        <v>1723443</v>
      </c>
      <c r="I90" s="548">
        <v>279568</v>
      </c>
      <c r="J90" s="958" t="s">
        <v>15</v>
      </c>
      <c r="K90" s="950">
        <f t="shared" ref="K90:X90" si="122">K87+K89</f>
        <v>9272313</v>
      </c>
      <c r="L90" s="950">
        <f t="shared" si="122"/>
        <v>6351453</v>
      </c>
      <c r="M90" s="951">
        <f t="shared" si="122"/>
        <v>42126</v>
      </c>
      <c r="N90" s="951">
        <f t="shared" si="122"/>
        <v>6309327</v>
      </c>
      <c r="O90" s="950">
        <f t="shared" si="122"/>
        <v>2920860</v>
      </c>
      <c r="P90" s="950">
        <f t="shared" si="122"/>
        <v>0</v>
      </c>
      <c r="Q90" s="951">
        <f t="shared" si="122"/>
        <v>0</v>
      </c>
      <c r="R90" s="951">
        <f t="shared" si="122"/>
        <v>0</v>
      </c>
      <c r="S90" s="950">
        <f t="shared" si="122"/>
        <v>1434255</v>
      </c>
      <c r="T90" s="951">
        <f t="shared" si="122"/>
        <v>16383</v>
      </c>
      <c r="U90" s="951">
        <f t="shared" si="122"/>
        <v>1417872</v>
      </c>
      <c r="V90" s="950">
        <f t="shared" si="122"/>
        <v>1486605</v>
      </c>
      <c r="W90" s="951">
        <f t="shared" si="122"/>
        <v>0</v>
      </c>
      <c r="X90" s="951">
        <f t="shared" si="122"/>
        <v>1486605</v>
      </c>
    </row>
    <row r="91" spans="1:24" s="549" customFormat="1" ht="15.75" customHeight="1">
      <c r="A91" s="954"/>
      <c r="B91" s="977"/>
      <c r="C91" s="977"/>
      <c r="D91" s="980"/>
      <c r="E91" s="954"/>
      <c r="F91" s="983"/>
      <c r="G91" s="974"/>
      <c r="H91" s="548">
        <v>1685163</v>
      </c>
      <c r="I91" s="548">
        <v>198558</v>
      </c>
      <c r="J91" s="959"/>
      <c r="K91" s="950"/>
      <c r="L91" s="950"/>
      <c r="M91" s="951"/>
      <c r="N91" s="951"/>
      <c r="O91" s="950"/>
      <c r="P91" s="950"/>
      <c r="Q91" s="951"/>
      <c r="R91" s="951"/>
      <c r="S91" s="950"/>
      <c r="T91" s="951"/>
      <c r="U91" s="951"/>
      <c r="V91" s="950"/>
      <c r="W91" s="951"/>
      <c r="X91" s="951"/>
    </row>
    <row r="92" spans="1:24" s="549" customFormat="1" ht="15.75" customHeight="1">
      <c r="A92" s="954">
        <v>12</v>
      </c>
      <c r="B92" s="972" t="s">
        <v>731</v>
      </c>
      <c r="C92" s="975" t="s">
        <v>960</v>
      </c>
      <c r="D92" s="978" t="s">
        <v>970</v>
      </c>
      <c r="E92" s="954" t="s">
        <v>940</v>
      </c>
      <c r="F92" s="981" t="s">
        <v>966</v>
      </c>
      <c r="G92" s="972" t="s">
        <v>971</v>
      </c>
      <c r="H92" s="548">
        <f>H93+H94+H95+H96</f>
        <v>1432278</v>
      </c>
      <c r="I92" s="548">
        <f>I93+I94+I95+I96</f>
        <v>448650</v>
      </c>
      <c r="J92" s="958" t="s">
        <v>13</v>
      </c>
      <c r="K92" s="950">
        <f t="shared" ref="K92" si="123">L92+O92</f>
        <v>481059</v>
      </c>
      <c r="L92" s="950">
        <f t="shared" ref="L92" si="124">M92+N92</f>
        <v>0</v>
      </c>
      <c r="M92" s="951">
        <v>0</v>
      </c>
      <c r="N92" s="951">
        <v>0</v>
      </c>
      <c r="O92" s="950">
        <f t="shared" ref="O92" si="125">P92+S92+V92</f>
        <v>481059</v>
      </c>
      <c r="P92" s="950">
        <f t="shared" ref="P92" si="126">Q92+R92</f>
        <v>0</v>
      </c>
      <c r="Q92" s="951">
        <v>0</v>
      </c>
      <c r="R92" s="951">
        <v>0</v>
      </c>
      <c r="S92" s="950">
        <f t="shared" ref="S92" si="127">T92+U92</f>
        <v>481059</v>
      </c>
      <c r="T92" s="951">
        <v>0</v>
      </c>
      <c r="U92" s="951">
        <v>481059</v>
      </c>
      <c r="V92" s="950">
        <f t="shared" ref="V92" si="128">W92+X92</f>
        <v>0</v>
      </c>
      <c r="W92" s="951">
        <v>0</v>
      </c>
      <c r="X92" s="951">
        <v>0</v>
      </c>
    </row>
    <row r="93" spans="1:24" s="549" customFormat="1" ht="15.75" customHeight="1">
      <c r="A93" s="954"/>
      <c r="B93" s="973"/>
      <c r="C93" s="976"/>
      <c r="D93" s="979"/>
      <c r="E93" s="954"/>
      <c r="F93" s="982"/>
      <c r="G93" s="973"/>
      <c r="H93" s="548">
        <v>0</v>
      </c>
      <c r="I93" s="548">
        <v>0</v>
      </c>
      <c r="J93" s="959"/>
      <c r="K93" s="950"/>
      <c r="L93" s="950"/>
      <c r="M93" s="951"/>
      <c r="N93" s="951"/>
      <c r="O93" s="950"/>
      <c r="P93" s="950"/>
      <c r="Q93" s="951"/>
      <c r="R93" s="951"/>
      <c r="S93" s="950"/>
      <c r="T93" s="951"/>
      <c r="U93" s="951"/>
      <c r="V93" s="950"/>
      <c r="W93" s="951"/>
      <c r="X93" s="951"/>
    </row>
    <row r="94" spans="1:24" s="549" customFormat="1" ht="15.75" customHeight="1">
      <c r="A94" s="954"/>
      <c r="B94" s="973"/>
      <c r="C94" s="976"/>
      <c r="D94" s="979"/>
      <c r="E94" s="954"/>
      <c r="F94" s="982"/>
      <c r="G94" s="973"/>
      <c r="H94" s="548">
        <v>0</v>
      </c>
      <c r="I94" s="548">
        <v>0</v>
      </c>
      <c r="J94" s="548" t="s">
        <v>14</v>
      </c>
      <c r="K94" s="550">
        <f t="shared" ref="K94" si="129">L94+O94</f>
        <v>105353</v>
      </c>
      <c r="L94" s="550">
        <f t="shared" ref="L94" si="130">M94+N94</f>
        <v>0</v>
      </c>
      <c r="M94" s="551">
        <v>0</v>
      </c>
      <c r="N94" s="551">
        <v>0</v>
      </c>
      <c r="O94" s="550">
        <f t="shared" ref="O94" si="131">P94+S94+V94</f>
        <v>105353</v>
      </c>
      <c r="P94" s="550">
        <f t="shared" ref="P94" si="132">Q94+R94</f>
        <v>0</v>
      </c>
      <c r="Q94" s="551">
        <v>0</v>
      </c>
      <c r="R94" s="551">
        <v>0</v>
      </c>
      <c r="S94" s="550">
        <f t="shared" ref="S94" si="133">T94+U94</f>
        <v>105353</v>
      </c>
      <c r="T94" s="551">
        <v>0</v>
      </c>
      <c r="U94" s="551">
        <v>105353</v>
      </c>
      <c r="V94" s="550">
        <f t="shared" ref="V94" si="134">W94+X94</f>
        <v>0</v>
      </c>
      <c r="W94" s="551">
        <v>0</v>
      </c>
      <c r="X94" s="551">
        <v>0</v>
      </c>
    </row>
    <row r="95" spans="1:24" s="549" customFormat="1" ht="15.75" customHeight="1">
      <c r="A95" s="954"/>
      <c r="B95" s="973"/>
      <c r="C95" s="976"/>
      <c r="D95" s="979"/>
      <c r="E95" s="954"/>
      <c r="F95" s="982"/>
      <c r="G95" s="973"/>
      <c r="H95" s="548">
        <v>1432278</v>
      </c>
      <c r="I95" s="548">
        <v>448650</v>
      </c>
      <c r="J95" s="958" t="s">
        <v>15</v>
      </c>
      <c r="K95" s="950">
        <f t="shared" ref="K95:X95" si="135">K92+K94</f>
        <v>586412</v>
      </c>
      <c r="L95" s="950">
        <f t="shared" si="135"/>
        <v>0</v>
      </c>
      <c r="M95" s="951">
        <f t="shared" si="135"/>
        <v>0</v>
      </c>
      <c r="N95" s="951">
        <f t="shared" si="135"/>
        <v>0</v>
      </c>
      <c r="O95" s="950">
        <f t="shared" si="135"/>
        <v>586412</v>
      </c>
      <c r="P95" s="950">
        <f t="shared" si="135"/>
        <v>0</v>
      </c>
      <c r="Q95" s="951">
        <f t="shared" si="135"/>
        <v>0</v>
      </c>
      <c r="R95" s="951">
        <f t="shared" si="135"/>
        <v>0</v>
      </c>
      <c r="S95" s="950">
        <f t="shared" si="135"/>
        <v>586412</v>
      </c>
      <c r="T95" s="951">
        <f t="shared" si="135"/>
        <v>0</v>
      </c>
      <c r="U95" s="951">
        <f t="shared" si="135"/>
        <v>586412</v>
      </c>
      <c r="V95" s="950">
        <f t="shared" si="135"/>
        <v>0</v>
      </c>
      <c r="W95" s="951">
        <f t="shared" si="135"/>
        <v>0</v>
      </c>
      <c r="X95" s="951">
        <f t="shared" si="135"/>
        <v>0</v>
      </c>
    </row>
    <row r="96" spans="1:24" s="549" customFormat="1" ht="15.75" customHeight="1">
      <c r="A96" s="954"/>
      <c r="B96" s="974"/>
      <c r="C96" s="977"/>
      <c r="D96" s="980"/>
      <c r="E96" s="954"/>
      <c r="F96" s="983"/>
      <c r="G96" s="974"/>
      <c r="H96" s="548">
        <v>0</v>
      </c>
      <c r="I96" s="548">
        <v>0</v>
      </c>
      <c r="J96" s="959"/>
      <c r="K96" s="950"/>
      <c r="L96" s="950"/>
      <c r="M96" s="951"/>
      <c r="N96" s="951"/>
      <c r="O96" s="950"/>
      <c r="P96" s="950"/>
      <c r="Q96" s="951"/>
      <c r="R96" s="951"/>
      <c r="S96" s="950"/>
      <c r="T96" s="951"/>
      <c r="U96" s="951"/>
      <c r="V96" s="950"/>
      <c r="W96" s="951"/>
      <c r="X96" s="951"/>
    </row>
    <row r="97" spans="1:24" s="549" customFormat="1" ht="15.75" customHeight="1">
      <c r="A97" s="954">
        <v>13</v>
      </c>
      <c r="B97" s="972" t="s">
        <v>731</v>
      </c>
      <c r="C97" s="975" t="s">
        <v>960</v>
      </c>
      <c r="D97" s="978" t="s">
        <v>972</v>
      </c>
      <c r="E97" s="954" t="s">
        <v>962</v>
      </c>
      <c r="F97" s="981" t="s">
        <v>966</v>
      </c>
      <c r="G97" s="972" t="s">
        <v>968</v>
      </c>
      <c r="H97" s="548">
        <f>H98+H99+H100+H101</f>
        <v>14748907</v>
      </c>
      <c r="I97" s="548">
        <f>I98+I99+I100+I101</f>
        <v>683831</v>
      </c>
      <c r="J97" s="958" t="s">
        <v>13</v>
      </c>
      <c r="K97" s="950">
        <f t="shared" ref="K97" si="136">L97+O97</f>
        <v>13402015</v>
      </c>
      <c r="L97" s="950">
        <f t="shared" ref="L97" si="137">M97+N97</f>
        <v>7436119</v>
      </c>
      <c r="M97" s="951">
        <v>204692</v>
      </c>
      <c r="N97" s="951">
        <v>7231427</v>
      </c>
      <c r="O97" s="950">
        <f t="shared" ref="O97" si="138">P97+S97+V97</f>
        <v>5965896</v>
      </c>
      <c r="P97" s="950">
        <f t="shared" ref="P97" si="139">Q97+R97</f>
        <v>0</v>
      </c>
      <c r="Q97" s="951">
        <v>0</v>
      </c>
      <c r="R97" s="951">
        <v>0</v>
      </c>
      <c r="S97" s="950">
        <f t="shared" ref="S97" si="140">T97+U97</f>
        <v>2314434</v>
      </c>
      <c r="T97" s="951">
        <v>142359</v>
      </c>
      <c r="U97" s="951">
        <v>2172075</v>
      </c>
      <c r="V97" s="950">
        <f t="shared" ref="V97" si="141">W97+X97</f>
        <v>3651462</v>
      </c>
      <c r="W97" s="951">
        <v>0</v>
      </c>
      <c r="X97" s="951">
        <v>3651462</v>
      </c>
    </row>
    <row r="98" spans="1:24" s="549" customFormat="1" ht="15.75" customHeight="1">
      <c r="A98" s="954"/>
      <c r="B98" s="973"/>
      <c r="C98" s="976"/>
      <c r="D98" s="979"/>
      <c r="E98" s="954"/>
      <c r="F98" s="982"/>
      <c r="G98" s="973"/>
      <c r="H98" s="548">
        <v>8093119</v>
      </c>
      <c r="I98" s="548">
        <v>269520</v>
      </c>
      <c r="J98" s="959"/>
      <c r="K98" s="950"/>
      <c r="L98" s="950"/>
      <c r="M98" s="951"/>
      <c r="N98" s="951"/>
      <c r="O98" s="950"/>
      <c r="P98" s="950"/>
      <c r="Q98" s="951"/>
      <c r="R98" s="951"/>
      <c r="S98" s="950"/>
      <c r="T98" s="951"/>
      <c r="U98" s="951"/>
      <c r="V98" s="950"/>
      <c r="W98" s="951"/>
      <c r="X98" s="951"/>
    </row>
    <row r="99" spans="1:24" s="549" customFormat="1" ht="15.75" customHeight="1">
      <c r="A99" s="954"/>
      <c r="B99" s="973"/>
      <c r="C99" s="976"/>
      <c r="D99" s="979"/>
      <c r="E99" s="954"/>
      <c r="F99" s="982"/>
      <c r="G99" s="973"/>
      <c r="H99" s="548">
        <v>0</v>
      </c>
      <c r="I99" s="548">
        <v>0</v>
      </c>
      <c r="J99" s="548" t="s">
        <v>14</v>
      </c>
      <c r="K99" s="550">
        <f t="shared" ref="K99" si="142">L99+O99</f>
        <v>24610</v>
      </c>
      <c r="L99" s="550">
        <f t="shared" ref="L99" si="143">M99+N99</f>
        <v>300802</v>
      </c>
      <c r="M99" s="551">
        <v>-59184</v>
      </c>
      <c r="N99" s="551">
        <v>359986</v>
      </c>
      <c r="O99" s="550">
        <f t="shared" ref="O99" si="144">P99+S99+V99</f>
        <v>-276192</v>
      </c>
      <c r="P99" s="550">
        <f t="shared" ref="P99" si="145">Q99+R99</f>
        <v>0</v>
      </c>
      <c r="Q99" s="551">
        <v>0</v>
      </c>
      <c r="R99" s="551">
        <v>0</v>
      </c>
      <c r="S99" s="550">
        <f t="shared" ref="S99" si="146">T99+U99</f>
        <v>-483386</v>
      </c>
      <c r="T99" s="551">
        <v>-55447</v>
      </c>
      <c r="U99" s="551">
        <v>-427939</v>
      </c>
      <c r="V99" s="550">
        <f t="shared" ref="V99" si="147">W99+X99</f>
        <v>207194</v>
      </c>
      <c r="W99" s="551">
        <v>0</v>
      </c>
      <c r="X99" s="551">
        <v>207194</v>
      </c>
    </row>
    <row r="100" spans="1:24" s="549" customFormat="1" ht="15.75" customHeight="1">
      <c r="A100" s="954"/>
      <c r="B100" s="973"/>
      <c r="C100" s="976"/>
      <c r="D100" s="979"/>
      <c r="E100" s="954"/>
      <c r="F100" s="982"/>
      <c r="G100" s="973"/>
      <c r="H100" s="548">
        <v>2626174</v>
      </c>
      <c r="I100" s="548">
        <v>243353</v>
      </c>
      <c r="J100" s="958" t="s">
        <v>15</v>
      </c>
      <c r="K100" s="950">
        <f t="shared" ref="K100:X100" si="148">K97+K99</f>
        <v>13426625</v>
      </c>
      <c r="L100" s="950">
        <f t="shared" si="148"/>
        <v>7736921</v>
      </c>
      <c r="M100" s="951">
        <f t="shared" si="148"/>
        <v>145508</v>
      </c>
      <c r="N100" s="951">
        <f t="shared" si="148"/>
        <v>7591413</v>
      </c>
      <c r="O100" s="950">
        <f t="shared" si="148"/>
        <v>5689704</v>
      </c>
      <c r="P100" s="950">
        <f t="shared" si="148"/>
        <v>0</v>
      </c>
      <c r="Q100" s="951">
        <f t="shared" si="148"/>
        <v>0</v>
      </c>
      <c r="R100" s="951">
        <f t="shared" si="148"/>
        <v>0</v>
      </c>
      <c r="S100" s="950">
        <f t="shared" si="148"/>
        <v>1831048</v>
      </c>
      <c r="T100" s="951">
        <f t="shared" si="148"/>
        <v>86912</v>
      </c>
      <c r="U100" s="951">
        <f t="shared" si="148"/>
        <v>1744136</v>
      </c>
      <c r="V100" s="950">
        <f t="shared" si="148"/>
        <v>3858656</v>
      </c>
      <c r="W100" s="951">
        <f t="shared" si="148"/>
        <v>0</v>
      </c>
      <c r="X100" s="951">
        <f t="shared" si="148"/>
        <v>3858656</v>
      </c>
    </row>
    <row r="101" spans="1:24" s="549" customFormat="1" ht="15.75" customHeight="1">
      <c r="A101" s="954"/>
      <c r="B101" s="974"/>
      <c r="C101" s="977"/>
      <c r="D101" s="980"/>
      <c r="E101" s="954"/>
      <c r="F101" s="983"/>
      <c r="G101" s="974"/>
      <c r="H101" s="548">
        <v>4029614</v>
      </c>
      <c r="I101" s="548">
        <v>170958</v>
      </c>
      <c r="J101" s="959"/>
      <c r="K101" s="950"/>
      <c r="L101" s="950"/>
      <c r="M101" s="951"/>
      <c r="N101" s="951"/>
      <c r="O101" s="950"/>
      <c r="P101" s="950"/>
      <c r="Q101" s="951"/>
      <c r="R101" s="951"/>
      <c r="S101" s="950"/>
      <c r="T101" s="951"/>
      <c r="U101" s="951"/>
      <c r="V101" s="950"/>
      <c r="W101" s="951"/>
      <c r="X101" s="951"/>
    </row>
    <row r="102" spans="1:24" s="549" customFormat="1" ht="16.5" customHeight="1">
      <c r="A102" s="954">
        <v>14</v>
      </c>
      <c r="B102" s="955" t="s">
        <v>652</v>
      </c>
      <c r="C102" s="956" t="s">
        <v>973</v>
      </c>
      <c r="D102" s="957" t="s">
        <v>651</v>
      </c>
      <c r="E102" s="954" t="s">
        <v>940</v>
      </c>
      <c r="F102" s="954" t="s">
        <v>974</v>
      </c>
      <c r="G102" s="955" t="s">
        <v>975</v>
      </c>
      <c r="H102" s="548">
        <f>H103+H104+H105+H106</f>
        <v>9745374</v>
      </c>
      <c r="I102" s="548">
        <f>I103+I104+I105+I106</f>
        <v>284329</v>
      </c>
      <c r="J102" s="958" t="s">
        <v>13</v>
      </c>
      <c r="K102" s="950">
        <f t="shared" ref="K102" si="149">L102+O102</f>
        <v>3062517</v>
      </c>
      <c r="L102" s="950">
        <f t="shared" ref="L102" si="150">M102+N102</f>
        <v>3062517</v>
      </c>
      <c r="M102" s="951">
        <v>500170</v>
      </c>
      <c r="N102" s="951">
        <v>2562347</v>
      </c>
      <c r="O102" s="950">
        <f t="shared" ref="O102" si="151">P102+S102+V102</f>
        <v>0</v>
      </c>
      <c r="P102" s="950">
        <f t="shared" ref="P102" si="152">Q102+R102</f>
        <v>0</v>
      </c>
      <c r="Q102" s="951">
        <v>0</v>
      </c>
      <c r="R102" s="951">
        <v>0</v>
      </c>
      <c r="S102" s="950">
        <f t="shared" ref="S102" si="153">T102+U102</f>
        <v>0</v>
      </c>
      <c r="T102" s="951">
        <v>0</v>
      </c>
      <c r="U102" s="951">
        <v>0</v>
      </c>
      <c r="V102" s="950">
        <f t="shared" ref="V102" si="154">W102+X102</f>
        <v>0</v>
      </c>
      <c r="W102" s="951">
        <v>0</v>
      </c>
      <c r="X102" s="951">
        <v>0</v>
      </c>
    </row>
    <row r="103" spans="1:24" s="549" customFormat="1" ht="16.5" customHeight="1">
      <c r="A103" s="954"/>
      <c r="B103" s="955"/>
      <c r="C103" s="956"/>
      <c r="D103" s="957"/>
      <c r="E103" s="954"/>
      <c r="F103" s="954"/>
      <c r="G103" s="955"/>
      <c r="H103" s="548">
        <v>9745374</v>
      </c>
      <c r="I103" s="548">
        <v>284329</v>
      </c>
      <c r="J103" s="959"/>
      <c r="K103" s="950"/>
      <c r="L103" s="950"/>
      <c r="M103" s="951"/>
      <c r="N103" s="951"/>
      <c r="O103" s="950"/>
      <c r="P103" s="950"/>
      <c r="Q103" s="951"/>
      <c r="R103" s="951"/>
      <c r="S103" s="950"/>
      <c r="T103" s="951"/>
      <c r="U103" s="951"/>
      <c r="V103" s="950"/>
      <c r="W103" s="951"/>
      <c r="X103" s="951"/>
    </row>
    <row r="104" spans="1:24" s="549" customFormat="1" ht="16.5" customHeight="1">
      <c r="A104" s="954"/>
      <c r="B104" s="955"/>
      <c r="C104" s="956"/>
      <c r="D104" s="957"/>
      <c r="E104" s="954"/>
      <c r="F104" s="954"/>
      <c r="G104" s="955"/>
      <c r="H104" s="548">
        <v>0</v>
      </c>
      <c r="I104" s="548">
        <v>0</v>
      </c>
      <c r="J104" s="548" t="s">
        <v>14</v>
      </c>
      <c r="K104" s="550">
        <f t="shared" ref="K104" si="155">L104+O104</f>
        <v>0</v>
      </c>
      <c r="L104" s="550">
        <f t="shared" ref="L104" si="156">M104+N104</f>
        <v>0</v>
      </c>
      <c r="M104" s="551">
        <v>0</v>
      </c>
      <c r="N104" s="551">
        <v>0</v>
      </c>
      <c r="O104" s="550">
        <f t="shared" ref="O104" si="157">P104+S104+V104</f>
        <v>0</v>
      </c>
      <c r="P104" s="550">
        <f t="shared" ref="P104" si="158">Q104+R104</f>
        <v>0</v>
      </c>
      <c r="Q104" s="551">
        <v>0</v>
      </c>
      <c r="R104" s="551">
        <v>0</v>
      </c>
      <c r="S104" s="550">
        <f t="shared" ref="S104" si="159">T104+U104</f>
        <v>0</v>
      </c>
      <c r="T104" s="551">
        <v>0</v>
      </c>
      <c r="U104" s="551">
        <v>0</v>
      </c>
      <c r="V104" s="550">
        <f t="shared" ref="V104" si="160">W104+X104</f>
        <v>0</v>
      </c>
      <c r="W104" s="551">
        <v>0</v>
      </c>
      <c r="X104" s="551">
        <v>0</v>
      </c>
    </row>
    <row r="105" spans="1:24" s="549" customFormat="1" ht="16.5" customHeight="1">
      <c r="A105" s="954"/>
      <c r="B105" s="955"/>
      <c r="C105" s="956"/>
      <c r="D105" s="957"/>
      <c r="E105" s="954"/>
      <c r="F105" s="954"/>
      <c r="G105" s="955"/>
      <c r="H105" s="548">
        <v>0</v>
      </c>
      <c r="I105" s="548">
        <v>0</v>
      </c>
      <c r="J105" s="958" t="s">
        <v>15</v>
      </c>
      <c r="K105" s="950">
        <f t="shared" ref="K105:X105" si="161">K102+K104</f>
        <v>3062517</v>
      </c>
      <c r="L105" s="950">
        <f t="shared" si="161"/>
        <v>3062517</v>
      </c>
      <c r="M105" s="951">
        <f t="shared" si="161"/>
        <v>500170</v>
      </c>
      <c r="N105" s="951">
        <f t="shared" si="161"/>
        <v>2562347</v>
      </c>
      <c r="O105" s="950">
        <f t="shared" si="161"/>
        <v>0</v>
      </c>
      <c r="P105" s="950">
        <f t="shared" si="161"/>
        <v>0</v>
      </c>
      <c r="Q105" s="951">
        <f t="shared" si="161"/>
        <v>0</v>
      </c>
      <c r="R105" s="951">
        <f t="shared" si="161"/>
        <v>0</v>
      </c>
      <c r="S105" s="950">
        <f t="shared" si="161"/>
        <v>0</v>
      </c>
      <c r="T105" s="951">
        <f t="shared" si="161"/>
        <v>0</v>
      </c>
      <c r="U105" s="951">
        <f t="shared" si="161"/>
        <v>0</v>
      </c>
      <c r="V105" s="950">
        <f t="shared" si="161"/>
        <v>0</v>
      </c>
      <c r="W105" s="951">
        <f t="shared" si="161"/>
        <v>0</v>
      </c>
      <c r="X105" s="951">
        <f t="shared" si="161"/>
        <v>0</v>
      </c>
    </row>
    <row r="106" spans="1:24" s="549" customFormat="1" ht="16.5" customHeight="1">
      <c r="A106" s="954"/>
      <c r="B106" s="955"/>
      <c r="C106" s="956"/>
      <c r="D106" s="957"/>
      <c r="E106" s="954"/>
      <c r="F106" s="954"/>
      <c r="G106" s="955"/>
      <c r="H106" s="548">
        <v>0</v>
      </c>
      <c r="I106" s="548">
        <v>0</v>
      </c>
      <c r="J106" s="959"/>
      <c r="K106" s="950"/>
      <c r="L106" s="950"/>
      <c r="M106" s="951"/>
      <c r="N106" s="951"/>
      <c r="O106" s="950"/>
      <c r="P106" s="950"/>
      <c r="Q106" s="951"/>
      <c r="R106" s="951"/>
      <c r="S106" s="950"/>
      <c r="T106" s="951"/>
      <c r="U106" s="951"/>
      <c r="V106" s="950"/>
      <c r="W106" s="951"/>
      <c r="X106" s="951"/>
    </row>
    <row r="107" spans="1:24" s="549" customFormat="1" ht="16.5" customHeight="1">
      <c r="A107" s="954">
        <v>15</v>
      </c>
      <c r="B107" s="955" t="s">
        <v>640</v>
      </c>
      <c r="C107" s="956" t="s">
        <v>976</v>
      </c>
      <c r="D107" s="957" t="s">
        <v>639</v>
      </c>
      <c r="E107" s="954" t="s">
        <v>940</v>
      </c>
      <c r="F107" s="954" t="s">
        <v>977</v>
      </c>
      <c r="G107" s="955" t="s">
        <v>951</v>
      </c>
      <c r="H107" s="548">
        <f>H108+H109+H110+H111</f>
        <v>4255916</v>
      </c>
      <c r="I107" s="548">
        <f>I108+I109+I110+I111</f>
        <v>2941912</v>
      </c>
      <c r="J107" s="958" t="s">
        <v>13</v>
      </c>
      <c r="K107" s="950">
        <f t="shared" ref="K107" si="162">L107+O107</f>
        <v>863331</v>
      </c>
      <c r="L107" s="950">
        <f t="shared" ref="L107" si="163">M107+N107</f>
        <v>824490</v>
      </c>
      <c r="M107" s="951">
        <v>824490</v>
      </c>
      <c r="N107" s="951">
        <v>0</v>
      </c>
      <c r="O107" s="950">
        <f t="shared" ref="O107" si="164">P107+S107+V107</f>
        <v>38841</v>
      </c>
      <c r="P107" s="950">
        <f t="shared" ref="P107" si="165">Q107+R107</f>
        <v>0</v>
      </c>
      <c r="Q107" s="951">
        <v>0</v>
      </c>
      <c r="R107" s="951">
        <v>0</v>
      </c>
      <c r="S107" s="950">
        <f t="shared" ref="S107" si="166">T107+U107</f>
        <v>38841</v>
      </c>
      <c r="T107" s="951">
        <v>38841</v>
      </c>
      <c r="U107" s="951">
        <v>0</v>
      </c>
      <c r="V107" s="950">
        <f t="shared" ref="V107" si="167">W107+X107</f>
        <v>0</v>
      </c>
      <c r="W107" s="951">
        <v>0</v>
      </c>
      <c r="X107" s="951">
        <v>0</v>
      </c>
    </row>
    <row r="108" spans="1:24" s="549" customFormat="1" ht="16.5" customHeight="1">
      <c r="A108" s="954"/>
      <c r="B108" s="955"/>
      <c r="C108" s="956"/>
      <c r="D108" s="957"/>
      <c r="E108" s="954"/>
      <c r="F108" s="954"/>
      <c r="G108" s="955"/>
      <c r="H108" s="548">
        <v>4198940</v>
      </c>
      <c r="I108" s="548">
        <v>2934368</v>
      </c>
      <c r="J108" s="959"/>
      <c r="K108" s="950"/>
      <c r="L108" s="950"/>
      <c r="M108" s="951"/>
      <c r="N108" s="951"/>
      <c r="O108" s="950"/>
      <c r="P108" s="950"/>
      <c r="Q108" s="951"/>
      <c r="R108" s="951"/>
      <c r="S108" s="950"/>
      <c r="T108" s="951"/>
      <c r="U108" s="951"/>
      <c r="V108" s="950"/>
      <c r="W108" s="951"/>
      <c r="X108" s="951"/>
    </row>
    <row r="109" spans="1:24" s="549" customFormat="1" ht="16.5" customHeight="1">
      <c r="A109" s="954"/>
      <c r="B109" s="955"/>
      <c r="C109" s="956"/>
      <c r="D109" s="957"/>
      <c r="E109" s="954"/>
      <c r="F109" s="954"/>
      <c r="G109" s="955"/>
      <c r="H109" s="548">
        <v>0</v>
      </c>
      <c r="I109" s="548">
        <v>0</v>
      </c>
      <c r="J109" s="548" t="s">
        <v>14</v>
      </c>
      <c r="K109" s="550">
        <f t="shared" ref="K109" si="168">L109+O109</f>
        <v>450673</v>
      </c>
      <c r="L109" s="550">
        <f t="shared" ref="L109" si="169">M109+N109</f>
        <v>440082</v>
      </c>
      <c r="M109" s="551">
        <v>440082</v>
      </c>
      <c r="N109" s="551">
        <v>0</v>
      </c>
      <c r="O109" s="550">
        <f t="shared" ref="O109" si="170">P109+S109+V109</f>
        <v>10591</v>
      </c>
      <c r="P109" s="550">
        <f t="shared" ref="P109" si="171">Q109+R109</f>
        <v>0</v>
      </c>
      <c r="Q109" s="551">
        <v>0</v>
      </c>
      <c r="R109" s="551">
        <v>0</v>
      </c>
      <c r="S109" s="550">
        <f t="shared" ref="S109" si="172">T109+U109</f>
        <v>10591</v>
      </c>
      <c r="T109" s="551">
        <v>10591</v>
      </c>
      <c r="U109" s="551">
        <v>0</v>
      </c>
      <c r="V109" s="550">
        <f t="shared" ref="V109" si="173">W109+X109</f>
        <v>0</v>
      </c>
      <c r="W109" s="551">
        <v>0</v>
      </c>
      <c r="X109" s="551">
        <v>0</v>
      </c>
    </row>
    <row r="110" spans="1:24" s="549" customFormat="1" ht="16.5" customHeight="1">
      <c r="A110" s="954"/>
      <c r="B110" s="955"/>
      <c r="C110" s="956"/>
      <c r="D110" s="957"/>
      <c r="E110" s="954"/>
      <c r="F110" s="954"/>
      <c r="G110" s="955"/>
      <c r="H110" s="548">
        <v>56976</v>
      </c>
      <c r="I110" s="548">
        <v>7544</v>
      </c>
      <c r="J110" s="958" t="s">
        <v>15</v>
      </c>
      <c r="K110" s="950">
        <f t="shared" ref="K110:X110" si="174">K107+K109</f>
        <v>1314004</v>
      </c>
      <c r="L110" s="950">
        <f t="shared" si="174"/>
        <v>1264572</v>
      </c>
      <c r="M110" s="951">
        <f t="shared" si="174"/>
        <v>1264572</v>
      </c>
      <c r="N110" s="951">
        <f t="shared" si="174"/>
        <v>0</v>
      </c>
      <c r="O110" s="950">
        <f t="shared" si="174"/>
        <v>49432</v>
      </c>
      <c r="P110" s="950">
        <f t="shared" si="174"/>
        <v>0</v>
      </c>
      <c r="Q110" s="951">
        <f t="shared" si="174"/>
        <v>0</v>
      </c>
      <c r="R110" s="951">
        <f t="shared" si="174"/>
        <v>0</v>
      </c>
      <c r="S110" s="950">
        <f t="shared" si="174"/>
        <v>49432</v>
      </c>
      <c r="T110" s="951">
        <f t="shared" si="174"/>
        <v>49432</v>
      </c>
      <c r="U110" s="951">
        <f t="shared" si="174"/>
        <v>0</v>
      </c>
      <c r="V110" s="950">
        <f t="shared" si="174"/>
        <v>0</v>
      </c>
      <c r="W110" s="951">
        <f t="shared" si="174"/>
        <v>0</v>
      </c>
      <c r="X110" s="951">
        <f t="shared" si="174"/>
        <v>0</v>
      </c>
    </row>
    <row r="111" spans="1:24" s="549" customFormat="1" ht="16.5" customHeight="1">
      <c r="A111" s="954"/>
      <c r="B111" s="955"/>
      <c r="C111" s="956"/>
      <c r="D111" s="957"/>
      <c r="E111" s="954"/>
      <c r="F111" s="954"/>
      <c r="G111" s="955"/>
      <c r="H111" s="548">
        <v>0</v>
      </c>
      <c r="I111" s="548">
        <v>0</v>
      </c>
      <c r="J111" s="959"/>
      <c r="K111" s="950"/>
      <c r="L111" s="950"/>
      <c r="M111" s="951"/>
      <c r="N111" s="951"/>
      <c r="O111" s="950"/>
      <c r="P111" s="950"/>
      <c r="Q111" s="951"/>
      <c r="R111" s="951"/>
      <c r="S111" s="950"/>
      <c r="T111" s="951"/>
      <c r="U111" s="951"/>
      <c r="V111" s="950"/>
      <c r="W111" s="951"/>
      <c r="X111" s="951"/>
    </row>
    <row r="112" spans="1:24" s="549" customFormat="1" ht="16.5" hidden="1" customHeight="1">
      <c r="A112" s="954">
        <v>19</v>
      </c>
      <c r="B112" s="955" t="s">
        <v>640</v>
      </c>
      <c r="C112" s="956" t="s">
        <v>976</v>
      </c>
      <c r="D112" s="957" t="s">
        <v>641</v>
      </c>
      <c r="E112" s="954" t="s">
        <v>940</v>
      </c>
      <c r="F112" s="954" t="s">
        <v>977</v>
      </c>
      <c r="G112" s="955" t="s">
        <v>959</v>
      </c>
      <c r="H112" s="548">
        <f>H113+H114+H115+H116</f>
        <v>5389685</v>
      </c>
      <c r="I112" s="548">
        <f>I113+I114+I115+I116</f>
        <v>5126545</v>
      </c>
      <c r="J112" s="958" t="s">
        <v>13</v>
      </c>
      <c r="K112" s="950">
        <f t="shared" ref="K112" si="175">L112+O112</f>
        <v>263140</v>
      </c>
      <c r="L112" s="950">
        <f t="shared" ref="L112" si="176">M112+N112</f>
        <v>263140</v>
      </c>
      <c r="M112" s="951">
        <v>263140</v>
      </c>
      <c r="N112" s="951">
        <v>0</v>
      </c>
      <c r="O112" s="950">
        <f t="shared" ref="O112" si="177">P112+S112+V112</f>
        <v>0</v>
      </c>
      <c r="P112" s="950">
        <f t="shared" ref="P112" si="178">Q112+R112</f>
        <v>0</v>
      </c>
      <c r="Q112" s="951">
        <v>0</v>
      </c>
      <c r="R112" s="951">
        <v>0</v>
      </c>
      <c r="S112" s="950">
        <f t="shared" ref="S112" si="179">T112+U112</f>
        <v>0</v>
      </c>
      <c r="T112" s="951">
        <v>0</v>
      </c>
      <c r="U112" s="951">
        <v>0</v>
      </c>
      <c r="V112" s="950">
        <f t="shared" ref="V112" si="180">W112+X112</f>
        <v>0</v>
      </c>
      <c r="W112" s="951">
        <v>0</v>
      </c>
      <c r="X112" s="951">
        <v>0</v>
      </c>
    </row>
    <row r="113" spans="1:24" s="549" customFormat="1" ht="16.5" hidden="1" customHeight="1">
      <c r="A113" s="954"/>
      <c r="B113" s="955"/>
      <c r="C113" s="956"/>
      <c r="D113" s="957"/>
      <c r="E113" s="954"/>
      <c r="F113" s="954"/>
      <c r="G113" s="955"/>
      <c r="H113" s="548">
        <v>5318232</v>
      </c>
      <c r="I113" s="548">
        <v>5055092</v>
      </c>
      <c r="J113" s="959"/>
      <c r="K113" s="950"/>
      <c r="L113" s="950"/>
      <c r="M113" s="951"/>
      <c r="N113" s="951"/>
      <c r="O113" s="950"/>
      <c r="P113" s="950"/>
      <c r="Q113" s="951"/>
      <c r="R113" s="951"/>
      <c r="S113" s="950"/>
      <c r="T113" s="951"/>
      <c r="U113" s="951"/>
      <c r="V113" s="950"/>
      <c r="W113" s="951"/>
      <c r="X113" s="951"/>
    </row>
    <row r="114" spans="1:24" s="549" customFormat="1" ht="16.5" hidden="1" customHeight="1">
      <c r="A114" s="954"/>
      <c r="B114" s="955"/>
      <c r="C114" s="956"/>
      <c r="D114" s="957"/>
      <c r="E114" s="954"/>
      <c r="F114" s="954"/>
      <c r="G114" s="955"/>
      <c r="H114" s="548">
        <v>0</v>
      </c>
      <c r="I114" s="548">
        <v>0</v>
      </c>
      <c r="J114" s="548" t="s">
        <v>14</v>
      </c>
      <c r="K114" s="550">
        <f t="shared" ref="K114" si="181">L114+O114</f>
        <v>0</v>
      </c>
      <c r="L114" s="550">
        <f t="shared" ref="L114" si="182">M114+N114</f>
        <v>0</v>
      </c>
      <c r="M114" s="551">
        <v>0</v>
      </c>
      <c r="N114" s="551">
        <v>0</v>
      </c>
      <c r="O114" s="550">
        <f t="shared" ref="O114" si="183">P114+S114+V114</f>
        <v>0</v>
      </c>
      <c r="P114" s="550">
        <f t="shared" ref="P114" si="184">Q114+R114</f>
        <v>0</v>
      </c>
      <c r="Q114" s="551">
        <v>0</v>
      </c>
      <c r="R114" s="551">
        <v>0</v>
      </c>
      <c r="S114" s="550">
        <f t="shared" ref="S114" si="185">T114+U114</f>
        <v>0</v>
      </c>
      <c r="T114" s="551">
        <v>0</v>
      </c>
      <c r="U114" s="551">
        <v>0</v>
      </c>
      <c r="V114" s="550">
        <f t="shared" ref="V114" si="186">W114+X114</f>
        <v>0</v>
      </c>
      <c r="W114" s="551">
        <v>0</v>
      </c>
      <c r="X114" s="551">
        <v>0</v>
      </c>
    </row>
    <row r="115" spans="1:24" s="549" customFormat="1" ht="16.5" hidden="1" customHeight="1">
      <c r="A115" s="954"/>
      <c r="B115" s="955"/>
      <c r="C115" s="956"/>
      <c r="D115" s="957"/>
      <c r="E115" s="954"/>
      <c r="F115" s="954"/>
      <c r="G115" s="955"/>
      <c r="H115" s="548">
        <v>71453</v>
      </c>
      <c r="I115" s="548">
        <v>71453</v>
      </c>
      <c r="J115" s="958" t="s">
        <v>15</v>
      </c>
      <c r="K115" s="950">
        <f t="shared" ref="K115:X115" si="187">K112+K114</f>
        <v>263140</v>
      </c>
      <c r="L115" s="950">
        <f t="shared" si="187"/>
        <v>263140</v>
      </c>
      <c r="M115" s="951">
        <f t="shared" si="187"/>
        <v>263140</v>
      </c>
      <c r="N115" s="951">
        <f t="shared" si="187"/>
        <v>0</v>
      </c>
      <c r="O115" s="950">
        <f t="shared" si="187"/>
        <v>0</v>
      </c>
      <c r="P115" s="950">
        <f t="shared" si="187"/>
        <v>0</v>
      </c>
      <c r="Q115" s="951">
        <f t="shared" si="187"/>
        <v>0</v>
      </c>
      <c r="R115" s="951">
        <f t="shared" si="187"/>
        <v>0</v>
      </c>
      <c r="S115" s="950">
        <f t="shared" si="187"/>
        <v>0</v>
      </c>
      <c r="T115" s="951">
        <f t="shared" si="187"/>
        <v>0</v>
      </c>
      <c r="U115" s="951">
        <f t="shared" si="187"/>
        <v>0</v>
      </c>
      <c r="V115" s="950">
        <f t="shared" si="187"/>
        <v>0</v>
      </c>
      <c r="W115" s="951">
        <f t="shared" si="187"/>
        <v>0</v>
      </c>
      <c r="X115" s="951">
        <f t="shared" si="187"/>
        <v>0</v>
      </c>
    </row>
    <row r="116" spans="1:24" s="549" customFormat="1" ht="16.5" hidden="1" customHeight="1">
      <c r="A116" s="954"/>
      <c r="B116" s="955"/>
      <c r="C116" s="956"/>
      <c r="D116" s="957"/>
      <c r="E116" s="954"/>
      <c r="F116" s="954"/>
      <c r="G116" s="955"/>
      <c r="H116" s="548">
        <v>0</v>
      </c>
      <c r="I116" s="548">
        <v>0</v>
      </c>
      <c r="J116" s="959"/>
      <c r="K116" s="950"/>
      <c r="L116" s="950"/>
      <c r="M116" s="951"/>
      <c r="N116" s="951"/>
      <c r="O116" s="950"/>
      <c r="P116" s="950"/>
      <c r="Q116" s="951"/>
      <c r="R116" s="951"/>
      <c r="S116" s="950"/>
      <c r="T116" s="951"/>
      <c r="U116" s="951"/>
      <c r="V116" s="950"/>
      <c r="W116" s="951"/>
      <c r="X116" s="951"/>
    </row>
    <row r="117" spans="1:24" s="549" customFormat="1" ht="16.5" customHeight="1">
      <c r="A117" s="954">
        <v>16</v>
      </c>
      <c r="B117" s="984" t="s">
        <v>640</v>
      </c>
      <c r="C117" s="984" t="s">
        <v>978</v>
      </c>
      <c r="D117" s="985" t="s">
        <v>642</v>
      </c>
      <c r="E117" s="986" t="s">
        <v>940</v>
      </c>
      <c r="F117" s="986" t="s">
        <v>979</v>
      </c>
      <c r="G117" s="987" t="s">
        <v>951</v>
      </c>
      <c r="H117" s="548">
        <f>H118+H119+H120+H121</f>
        <v>5640725</v>
      </c>
      <c r="I117" s="548">
        <f>I118+I119+I120+I121</f>
        <v>4962049</v>
      </c>
      <c r="J117" s="958" t="s">
        <v>13</v>
      </c>
      <c r="K117" s="950">
        <f t="shared" ref="K117" si="188">L117+O117</f>
        <v>470648</v>
      </c>
      <c r="L117" s="950">
        <f t="shared" ref="L117" si="189">M117+N117</f>
        <v>402438</v>
      </c>
      <c r="M117" s="951">
        <v>402438</v>
      </c>
      <c r="N117" s="951">
        <v>0</v>
      </c>
      <c r="O117" s="950">
        <f t="shared" ref="O117" si="190">P117+S117+V117</f>
        <v>68210</v>
      </c>
      <c r="P117" s="950">
        <f t="shared" ref="P117" si="191">Q117+R117</f>
        <v>68210</v>
      </c>
      <c r="Q117" s="951">
        <v>68210</v>
      </c>
      <c r="R117" s="951">
        <v>0</v>
      </c>
      <c r="S117" s="950">
        <f t="shared" ref="S117" si="192">T117+U117</f>
        <v>0</v>
      </c>
      <c r="T117" s="951">
        <v>0</v>
      </c>
      <c r="U117" s="951">
        <v>0</v>
      </c>
      <c r="V117" s="950">
        <f t="shared" ref="V117" si="193">W117+X117</f>
        <v>0</v>
      </c>
      <c r="W117" s="951">
        <v>0</v>
      </c>
      <c r="X117" s="951">
        <v>0</v>
      </c>
    </row>
    <row r="118" spans="1:24" s="549" customFormat="1" ht="16.5" customHeight="1">
      <c r="A118" s="954"/>
      <c r="B118" s="984"/>
      <c r="C118" s="984"/>
      <c r="D118" s="985"/>
      <c r="E118" s="986"/>
      <c r="F118" s="986"/>
      <c r="G118" s="987"/>
      <c r="H118" s="548">
        <v>4729121</v>
      </c>
      <c r="I118" s="548">
        <v>4170658</v>
      </c>
      <c r="J118" s="959"/>
      <c r="K118" s="950"/>
      <c r="L118" s="950"/>
      <c r="M118" s="951"/>
      <c r="N118" s="951"/>
      <c r="O118" s="950"/>
      <c r="P118" s="950"/>
      <c r="Q118" s="951"/>
      <c r="R118" s="951"/>
      <c r="S118" s="950"/>
      <c r="T118" s="951"/>
      <c r="U118" s="951"/>
      <c r="V118" s="950"/>
      <c r="W118" s="951"/>
      <c r="X118" s="951"/>
    </row>
    <row r="119" spans="1:24" s="549" customFormat="1" ht="16.5" customHeight="1">
      <c r="A119" s="954"/>
      <c r="B119" s="984"/>
      <c r="C119" s="984"/>
      <c r="D119" s="985"/>
      <c r="E119" s="986"/>
      <c r="F119" s="986"/>
      <c r="G119" s="987"/>
      <c r="H119" s="548">
        <v>794183</v>
      </c>
      <c r="I119" s="548">
        <v>705171</v>
      </c>
      <c r="J119" s="548" t="s">
        <v>14</v>
      </c>
      <c r="K119" s="550">
        <f t="shared" ref="K119" si="194">L119+O119</f>
        <v>208028</v>
      </c>
      <c r="L119" s="550">
        <f t="shared" ref="L119" si="195">M119+N119</f>
        <v>156025</v>
      </c>
      <c r="M119" s="551">
        <v>156025</v>
      </c>
      <c r="N119" s="551">
        <v>0</v>
      </c>
      <c r="O119" s="550">
        <f t="shared" ref="O119" si="196">P119+S119+V119</f>
        <v>52003</v>
      </c>
      <c r="P119" s="550">
        <f t="shared" ref="P119" si="197">Q119+R119</f>
        <v>20802</v>
      </c>
      <c r="Q119" s="551">
        <v>20802</v>
      </c>
      <c r="R119" s="551">
        <v>0</v>
      </c>
      <c r="S119" s="550">
        <f t="shared" ref="S119" si="198">T119+U119</f>
        <v>31201</v>
      </c>
      <c r="T119" s="551">
        <v>31201</v>
      </c>
      <c r="U119" s="551">
        <v>0</v>
      </c>
      <c r="V119" s="550">
        <f t="shared" ref="V119" si="199">W119+X119</f>
        <v>0</v>
      </c>
      <c r="W119" s="551">
        <v>0</v>
      </c>
      <c r="X119" s="551">
        <v>0</v>
      </c>
    </row>
    <row r="120" spans="1:24" s="549" customFormat="1" ht="16.5" customHeight="1">
      <c r="A120" s="954"/>
      <c r="B120" s="984"/>
      <c r="C120" s="984"/>
      <c r="D120" s="985"/>
      <c r="E120" s="986"/>
      <c r="F120" s="986"/>
      <c r="G120" s="987"/>
      <c r="H120" s="548">
        <v>117421</v>
      </c>
      <c r="I120" s="548">
        <v>86220</v>
      </c>
      <c r="J120" s="958" t="s">
        <v>15</v>
      </c>
      <c r="K120" s="950">
        <f t="shared" ref="K120:X120" si="200">K117+K119</f>
        <v>678676</v>
      </c>
      <c r="L120" s="950">
        <f t="shared" si="200"/>
        <v>558463</v>
      </c>
      <c r="M120" s="951">
        <f t="shared" si="200"/>
        <v>558463</v>
      </c>
      <c r="N120" s="951">
        <f t="shared" si="200"/>
        <v>0</v>
      </c>
      <c r="O120" s="950">
        <f t="shared" si="200"/>
        <v>120213</v>
      </c>
      <c r="P120" s="950">
        <f t="shared" si="200"/>
        <v>89012</v>
      </c>
      <c r="Q120" s="951">
        <f t="shared" si="200"/>
        <v>89012</v>
      </c>
      <c r="R120" s="951">
        <f t="shared" si="200"/>
        <v>0</v>
      </c>
      <c r="S120" s="950">
        <f t="shared" si="200"/>
        <v>31201</v>
      </c>
      <c r="T120" s="951">
        <f t="shared" si="200"/>
        <v>31201</v>
      </c>
      <c r="U120" s="951">
        <f t="shared" si="200"/>
        <v>0</v>
      </c>
      <c r="V120" s="950">
        <f t="shared" si="200"/>
        <v>0</v>
      </c>
      <c r="W120" s="951">
        <f t="shared" si="200"/>
        <v>0</v>
      </c>
      <c r="X120" s="951">
        <f t="shared" si="200"/>
        <v>0</v>
      </c>
    </row>
    <row r="121" spans="1:24" s="549" customFormat="1" ht="16.5" customHeight="1">
      <c r="A121" s="954"/>
      <c r="B121" s="984"/>
      <c r="C121" s="984"/>
      <c r="D121" s="985"/>
      <c r="E121" s="986"/>
      <c r="F121" s="986"/>
      <c r="G121" s="987"/>
      <c r="H121" s="548">
        <v>0</v>
      </c>
      <c r="I121" s="548">
        <v>0</v>
      </c>
      <c r="J121" s="959"/>
      <c r="K121" s="950"/>
      <c r="L121" s="950"/>
      <c r="M121" s="951"/>
      <c r="N121" s="951"/>
      <c r="O121" s="950"/>
      <c r="P121" s="950"/>
      <c r="Q121" s="951"/>
      <c r="R121" s="951"/>
      <c r="S121" s="950"/>
      <c r="T121" s="951"/>
      <c r="U121" s="951"/>
      <c r="V121" s="950"/>
      <c r="W121" s="951"/>
      <c r="X121" s="951"/>
    </row>
    <row r="122" spans="1:24" s="549" customFormat="1" ht="16.5" customHeight="1">
      <c r="A122" s="954">
        <v>17</v>
      </c>
      <c r="B122" s="987" t="s">
        <v>980</v>
      </c>
      <c r="C122" s="984" t="s">
        <v>981</v>
      </c>
      <c r="D122" s="985" t="s">
        <v>982</v>
      </c>
      <c r="E122" s="986" t="s">
        <v>983</v>
      </c>
      <c r="F122" s="986" t="s">
        <v>984</v>
      </c>
      <c r="G122" s="987" t="s">
        <v>964</v>
      </c>
      <c r="H122" s="552">
        <f>H123+H124+H125+H126</f>
        <v>3321352</v>
      </c>
      <c r="I122" s="552">
        <f>I123+I124+I125+I126</f>
        <v>3221642</v>
      </c>
      <c r="J122" s="958" t="s">
        <v>13</v>
      </c>
      <c r="K122" s="950">
        <f t="shared" ref="K122" si="201">L122+O122</f>
        <v>0</v>
      </c>
      <c r="L122" s="950">
        <f t="shared" ref="L122" si="202">M122+N122</f>
        <v>0</v>
      </c>
      <c r="M122" s="951">
        <v>0</v>
      </c>
      <c r="N122" s="951">
        <v>0</v>
      </c>
      <c r="O122" s="950">
        <f t="shared" ref="O122" si="203">P122+S122+V122</f>
        <v>0</v>
      </c>
      <c r="P122" s="950">
        <f t="shared" ref="P122" si="204">Q122+R122</f>
        <v>0</v>
      </c>
      <c r="Q122" s="951">
        <v>0</v>
      </c>
      <c r="R122" s="951">
        <v>0</v>
      </c>
      <c r="S122" s="950">
        <f t="shared" ref="S122" si="205">T122+U122</f>
        <v>0</v>
      </c>
      <c r="T122" s="951">
        <v>0</v>
      </c>
      <c r="U122" s="951">
        <v>0</v>
      </c>
      <c r="V122" s="950">
        <f t="shared" ref="V122" si="206">W122+X122</f>
        <v>0</v>
      </c>
      <c r="W122" s="951">
        <v>0</v>
      </c>
      <c r="X122" s="951">
        <v>0</v>
      </c>
    </row>
    <row r="123" spans="1:24" s="549" customFormat="1" ht="16.5" customHeight="1">
      <c r="A123" s="954"/>
      <c r="B123" s="987"/>
      <c r="C123" s="984"/>
      <c r="D123" s="985"/>
      <c r="E123" s="986"/>
      <c r="F123" s="986"/>
      <c r="G123" s="987"/>
      <c r="H123" s="552">
        <v>1585294</v>
      </c>
      <c r="I123" s="552">
        <v>1556514</v>
      </c>
      <c r="J123" s="959"/>
      <c r="K123" s="950"/>
      <c r="L123" s="950"/>
      <c r="M123" s="951"/>
      <c r="N123" s="951"/>
      <c r="O123" s="950"/>
      <c r="P123" s="950"/>
      <c r="Q123" s="951"/>
      <c r="R123" s="951"/>
      <c r="S123" s="950"/>
      <c r="T123" s="951"/>
      <c r="U123" s="951"/>
      <c r="V123" s="950"/>
      <c r="W123" s="951"/>
      <c r="X123" s="951"/>
    </row>
    <row r="124" spans="1:24" s="549" customFormat="1" ht="16.5" customHeight="1">
      <c r="A124" s="954"/>
      <c r="B124" s="987"/>
      <c r="C124" s="984"/>
      <c r="D124" s="985"/>
      <c r="E124" s="986"/>
      <c r="F124" s="986"/>
      <c r="G124" s="987"/>
      <c r="H124" s="552">
        <v>0</v>
      </c>
      <c r="I124" s="552">
        <v>0</v>
      </c>
      <c r="J124" s="548" t="s">
        <v>14</v>
      </c>
      <c r="K124" s="550">
        <f t="shared" ref="K124" si="207">L124+O124</f>
        <v>99710</v>
      </c>
      <c r="L124" s="550">
        <f t="shared" ref="L124" si="208">M124+N124</f>
        <v>28780</v>
      </c>
      <c r="M124" s="551">
        <v>28275</v>
      </c>
      <c r="N124" s="551">
        <v>505</v>
      </c>
      <c r="O124" s="550">
        <f t="shared" ref="O124" si="209">P124+S124+V124</f>
        <v>70930</v>
      </c>
      <c r="P124" s="550">
        <f t="shared" ref="P124" si="210">Q124+R124</f>
        <v>0</v>
      </c>
      <c r="Q124" s="551">
        <v>0</v>
      </c>
      <c r="R124" s="551">
        <v>0</v>
      </c>
      <c r="S124" s="550">
        <f t="shared" ref="S124" si="211">T124+U124</f>
        <v>70930</v>
      </c>
      <c r="T124" s="551">
        <v>60403</v>
      </c>
      <c r="U124" s="551">
        <v>10527</v>
      </c>
      <c r="V124" s="550">
        <f t="shared" ref="V124" si="212">W124+X124</f>
        <v>0</v>
      </c>
      <c r="W124" s="551">
        <v>0</v>
      </c>
      <c r="X124" s="551">
        <v>0</v>
      </c>
    </row>
    <row r="125" spans="1:24" s="549" customFormat="1" ht="16.5" customHeight="1">
      <c r="A125" s="954"/>
      <c r="B125" s="987"/>
      <c r="C125" s="984"/>
      <c r="D125" s="985"/>
      <c r="E125" s="986"/>
      <c r="F125" s="986"/>
      <c r="G125" s="987"/>
      <c r="H125" s="552">
        <v>1264129</v>
      </c>
      <c r="I125" s="552">
        <v>1193199</v>
      </c>
      <c r="J125" s="958" t="s">
        <v>15</v>
      </c>
      <c r="K125" s="950">
        <f t="shared" ref="K125:X125" si="213">K122+K124</f>
        <v>99710</v>
      </c>
      <c r="L125" s="950">
        <f t="shared" si="213"/>
        <v>28780</v>
      </c>
      <c r="M125" s="951">
        <f t="shared" si="213"/>
        <v>28275</v>
      </c>
      <c r="N125" s="951">
        <f t="shared" si="213"/>
        <v>505</v>
      </c>
      <c r="O125" s="950">
        <f t="shared" si="213"/>
        <v>70930</v>
      </c>
      <c r="P125" s="950">
        <f t="shared" si="213"/>
        <v>0</v>
      </c>
      <c r="Q125" s="951">
        <f t="shared" si="213"/>
        <v>0</v>
      </c>
      <c r="R125" s="951">
        <f t="shared" si="213"/>
        <v>0</v>
      </c>
      <c r="S125" s="950">
        <f t="shared" si="213"/>
        <v>70930</v>
      </c>
      <c r="T125" s="951">
        <f t="shared" si="213"/>
        <v>60403</v>
      </c>
      <c r="U125" s="951">
        <f t="shared" si="213"/>
        <v>10527</v>
      </c>
      <c r="V125" s="950">
        <f t="shared" si="213"/>
        <v>0</v>
      </c>
      <c r="W125" s="951">
        <f t="shared" si="213"/>
        <v>0</v>
      </c>
      <c r="X125" s="951">
        <f t="shared" si="213"/>
        <v>0</v>
      </c>
    </row>
    <row r="126" spans="1:24" s="549" customFormat="1" ht="16.5" customHeight="1">
      <c r="A126" s="954"/>
      <c r="B126" s="987"/>
      <c r="C126" s="984"/>
      <c r="D126" s="985"/>
      <c r="E126" s="986"/>
      <c r="F126" s="986"/>
      <c r="G126" s="987"/>
      <c r="H126" s="552">
        <v>471929</v>
      </c>
      <c r="I126" s="552">
        <v>471929</v>
      </c>
      <c r="J126" s="959"/>
      <c r="K126" s="950"/>
      <c r="L126" s="950"/>
      <c r="M126" s="951"/>
      <c r="N126" s="951"/>
      <c r="O126" s="950"/>
      <c r="P126" s="950"/>
      <c r="Q126" s="951"/>
      <c r="R126" s="951"/>
      <c r="S126" s="950"/>
      <c r="T126" s="951"/>
      <c r="U126" s="951"/>
      <c r="V126" s="950"/>
      <c r="W126" s="951"/>
      <c r="X126" s="951"/>
    </row>
    <row r="127" spans="1:24" s="549" customFormat="1" ht="16.5" customHeight="1">
      <c r="A127" s="954">
        <v>18</v>
      </c>
      <c r="B127" s="955" t="s">
        <v>980</v>
      </c>
      <c r="C127" s="956" t="s">
        <v>981</v>
      </c>
      <c r="D127" s="957" t="s">
        <v>985</v>
      </c>
      <c r="E127" s="988" t="s">
        <v>986</v>
      </c>
      <c r="F127" s="954" t="s">
        <v>984</v>
      </c>
      <c r="G127" s="955" t="s">
        <v>964</v>
      </c>
      <c r="H127" s="548">
        <f>H128+H129+H130+H131</f>
        <v>925190</v>
      </c>
      <c r="I127" s="548">
        <f>I128+I129+I130+I131</f>
        <v>179371</v>
      </c>
      <c r="J127" s="958" t="s">
        <v>13</v>
      </c>
      <c r="K127" s="950">
        <f t="shared" ref="K127" si="214">L127+O127</f>
        <v>351221</v>
      </c>
      <c r="L127" s="950">
        <f t="shared" ref="L127" si="215">M127+N127</f>
        <v>298538</v>
      </c>
      <c r="M127" s="951">
        <v>21250</v>
      </c>
      <c r="N127" s="951">
        <v>277288</v>
      </c>
      <c r="O127" s="950">
        <f t="shared" ref="O127" si="216">P127+S127+V127</f>
        <v>52683</v>
      </c>
      <c r="P127" s="950">
        <f t="shared" ref="P127" si="217">Q127+R127</f>
        <v>0</v>
      </c>
      <c r="Q127" s="951">
        <v>0</v>
      </c>
      <c r="R127" s="951">
        <v>0</v>
      </c>
      <c r="S127" s="950">
        <f t="shared" ref="S127" si="218">T127+U127</f>
        <v>52683</v>
      </c>
      <c r="T127" s="951">
        <v>3750</v>
      </c>
      <c r="U127" s="951">
        <v>48933</v>
      </c>
      <c r="V127" s="950">
        <f t="shared" ref="V127" si="219">W127+X127</f>
        <v>0</v>
      </c>
      <c r="W127" s="951">
        <v>0</v>
      </c>
      <c r="X127" s="951">
        <v>0</v>
      </c>
    </row>
    <row r="128" spans="1:24" s="549" customFormat="1" ht="16.5" customHeight="1">
      <c r="A128" s="954"/>
      <c r="B128" s="955"/>
      <c r="C128" s="956"/>
      <c r="D128" s="957"/>
      <c r="E128" s="988"/>
      <c r="F128" s="954"/>
      <c r="G128" s="955"/>
      <c r="H128" s="548">
        <v>786411</v>
      </c>
      <c r="I128" s="548">
        <v>141000</v>
      </c>
      <c r="J128" s="959"/>
      <c r="K128" s="950"/>
      <c r="L128" s="950"/>
      <c r="M128" s="951"/>
      <c r="N128" s="951"/>
      <c r="O128" s="950"/>
      <c r="P128" s="950"/>
      <c r="Q128" s="951"/>
      <c r="R128" s="951"/>
      <c r="S128" s="950"/>
      <c r="T128" s="951"/>
      <c r="U128" s="951"/>
      <c r="V128" s="950"/>
      <c r="W128" s="951"/>
      <c r="X128" s="951"/>
    </row>
    <row r="129" spans="1:24" s="549" customFormat="1" ht="16.5" customHeight="1">
      <c r="A129" s="954"/>
      <c r="B129" s="955"/>
      <c r="C129" s="956"/>
      <c r="D129" s="957"/>
      <c r="E129" s="988"/>
      <c r="F129" s="954"/>
      <c r="G129" s="955"/>
      <c r="H129" s="548">
        <v>0</v>
      </c>
      <c r="I129" s="548">
        <v>0</v>
      </c>
      <c r="J129" s="548" t="s">
        <v>14</v>
      </c>
      <c r="K129" s="550">
        <f t="shared" ref="K129" si="220">L129+O129</f>
        <v>394598</v>
      </c>
      <c r="L129" s="550">
        <f t="shared" ref="L129" si="221">M129+N129</f>
        <v>346873</v>
      </c>
      <c r="M129" s="551">
        <v>62285</v>
      </c>
      <c r="N129" s="551">
        <v>284588</v>
      </c>
      <c r="O129" s="550">
        <f t="shared" ref="O129" si="222">P129+S129+V129</f>
        <v>47725</v>
      </c>
      <c r="P129" s="550">
        <f t="shared" ref="P129" si="223">Q129+R129</f>
        <v>0</v>
      </c>
      <c r="Q129" s="551">
        <v>0</v>
      </c>
      <c r="R129" s="551">
        <v>0</v>
      </c>
      <c r="S129" s="550">
        <f t="shared" ref="S129" si="224">T129+U129</f>
        <v>47725</v>
      </c>
      <c r="T129" s="551">
        <v>10991</v>
      </c>
      <c r="U129" s="551">
        <v>36734</v>
      </c>
      <c r="V129" s="550">
        <f t="shared" ref="V129" si="225">W129+X129</f>
        <v>0</v>
      </c>
      <c r="W129" s="551">
        <v>0</v>
      </c>
      <c r="X129" s="551">
        <v>0</v>
      </c>
    </row>
    <row r="130" spans="1:24" s="549" customFormat="1" ht="16.5" customHeight="1">
      <c r="A130" s="954"/>
      <c r="B130" s="955"/>
      <c r="C130" s="956"/>
      <c r="D130" s="957"/>
      <c r="E130" s="988"/>
      <c r="F130" s="954"/>
      <c r="G130" s="955"/>
      <c r="H130" s="548">
        <v>138779</v>
      </c>
      <c r="I130" s="548">
        <v>38371</v>
      </c>
      <c r="J130" s="958" t="s">
        <v>15</v>
      </c>
      <c r="K130" s="950">
        <f t="shared" ref="K130:X130" si="226">K127+K129</f>
        <v>745819</v>
      </c>
      <c r="L130" s="950">
        <f t="shared" si="226"/>
        <v>645411</v>
      </c>
      <c r="M130" s="951">
        <f t="shared" si="226"/>
        <v>83535</v>
      </c>
      <c r="N130" s="951">
        <f t="shared" si="226"/>
        <v>561876</v>
      </c>
      <c r="O130" s="950">
        <f t="shared" si="226"/>
        <v>100408</v>
      </c>
      <c r="P130" s="950">
        <f t="shared" si="226"/>
        <v>0</v>
      </c>
      <c r="Q130" s="951">
        <f t="shared" si="226"/>
        <v>0</v>
      </c>
      <c r="R130" s="951">
        <f t="shared" si="226"/>
        <v>0</v>
      </c>
      <c r="S130" s="950">
        <f t="shared" si="226"/>
        <v>100408</v>
      </c>
      <c r="T130" s="951">
        <f t="shared" si="226"/>
        <v>14741</v>
      </c>
      <c r="U130" s="951">
        <f t="shared" si="226"/>
        <v>85667</v>
      </c>
      <c r="V130" s="950">
        <f t="shared" si="226"/>
        <v>0</v>
      </c>
      <c r="W130" s="951">
        <f t="shared" si="226"/>
        <v>0</v>
      </c>
      <c r="X130" s="951">
        <f t="shared" si="226"/>
        <v>0</v>
      </c>
    </row>
    <row r="131" spans="1:24" s="549" customFormat="1" ht="16.5" customHeight="1">
      <c r="A131" s="954"/>
      <c r="B131" s="955"/>
      <c r="C131" s="956"/>
      <c r="D131" s="957"/>
      <c r="E131" s="988"/>
      <c r="F131" s="954"/>
      <c r="G131" s="955"/>
      <c r="H131" s="548">
        <v>0</v>
      </c>
      <c r="I131" s="548">
        <v>0</v>
      </c>
      <c r="J131" s="959"/>
      <c r="K131" s="950"/>
      <c r="L131" s="950"/>
      <c r="M131" s="951"/>
      <c r="N131" s="951"/>
      <c r="O131" s="950"/>
      <c r="P131" s="950"/>
      <c r="Q131" s="951"/>
      <c r="R131" s="951"/>
      <c r="S131" s="950"/>
      <c r="T131" s="951"/>
      <c r="U131" s="951"/>
      <c r="V131" s="950"/>
      <c r="W131" s="951"/>
      <c r="X131" s="951"/>
    </row>
    <row r="132" spans="1:24" s="549" customFormat="1" ht="16.5" customHeight="1">
      <c r="A132" s="954">
        <v>19</v>
      </c>
      <c r="B132" s="955" t="s">
        <v>980</v>
      </c>
      <c r="C132" s="956" t="s">
        <v>981</v>
      </c>
      <c r="D132" s="957" t="s">
        <v>987</v>
      </c>
      <c r="E132" s="988" t="s">
        <v>986</v>
      </c>
      <c r="F132" s="954" t="s">
        <v>984</v>
      </c>
      <c r="G132" s="955" t="s">
        <v>988</v>
      </c>
      <c r="H132" s="548">
        <f>H133+H134+H135+H136</f>
        <v>4493063</v>
      </c>
      <c r="I132" s="548">
        <f>I133+I134+I135+I136</f>
        <v>2347462</v>
      </c>
      <c r="J132" s="958" t="s">
        <v>13</v>
      </c>
      <c r="K132" s="950">
        <f t="shared" ref="K132" si="227">L132+O132</f>
        <v>1096870</v>
      </c>
      <c r="L132" s="950">
        <f t="shared" ref="L132" si="228">M132+N132</f>
        <v>932340</v>
      </c>
      <c r="M132" s="951">
        <v>14875</v>
      </c>
      <c r="N132" s="951">
        <v>917465</v>
      </c>
      <c r="O132" s="950">
        <f t="shared" ref="O132" si="229">P132+S132+V132</f>
        <v>164530</v>
      </c>
      <c r="P132" s="950">
        <f t="shared" ref="P132" si="230">Q132+R132</f>
        <v>0</v>
      </c>
      <c r="Q132" s="951">
        <v>0</v>
      </c>
      <c r="R132" s="951">
        <v>0</v>
      </c>
      <c r="S132" s="950">
        <f t="shared" ref="S132" si="231">T132+U132</f>
        <v>164530</v>
      </c>
      <c r="T132" s="951">
        <v>2625</v>
      </c>
      <c r="U132" s="951">
        <v>161905</v>
      </c>
      <c r="V132" s="950">
        <f t="shared" ref="V132" si="232">W132+X132</f>
        <v>0</v>
      </c>
      <c r="W132" s="951">
        <v>0</v>
      </c>
      <c r="X132" s="951">
        <v>0</v>
      </c>
    </row>
    <row r="133" spans="1:24" s="549" customFormat="1" ht="16.5" customHeight="1">
      <c r="A133" s="954"/>
      <c r="B133" s="955"/>
      <c r="C133" s="956"/>
      <c r="D133" s="957"/>
      <c r="E133" s="988"/>
      <c r="F133" s="954"/>
      <c r="G133" s="955"/>
      <c r="H133" s="548">
        <v>3819105</v>
      </c>
      <c r="I133" s="548">
        <v>1995343</v>
      </c>
      <c r="J133" s="959"/>
      <c r="K133" s="950"/>
      <c r="L133" s="950"/>
      <c r="M133" s="951"/>
      <c r="N133" s="951"/>
      <c r="O133" s="950"/>
      <c r="P133" s="950"/>
      <c r="Q133" s="951"/>
      <c r="R133" s="951"/>
      <c r="S133" s="950"/>
      <c r="T133" s="951"/>
      <c r="U133" s="951"/>
      <c r="V133" s="950"/>
      <c r="W133" s="951"/>
      <c r="X133" s="951"/>
    </row>
    <row r="134" spans="1:24" s="549" customFormat="1" ht="16.5" customHeight="1">
      <c r="A134" s="954"/>
      <c r="B134" s="955"/>
      <c r="C134" s="956"/>
      <c r="D134" s="957"/>
      <c r="E134" s="988"/>
      <c r="F134" s="954"/>
      <c r="G134" s="955"/>
      <c r="H134" s="548">
        <v>0</v>
      </c>
      <c r="I134" s="548">
        <v>0</v>
      </c>
      <c r="J134" s="548" t="s">
        <v>14</v>
      </c>
      <c r="K134" s="550">
        <f t="shared" ref="K134" si="233">L134+O134</f>
        <v>1048731</v>
      </c>
      <c r="L134" s="550">
        <f t="shared" ref="L134" si="234">M134+N134</f>
        <v>891422</v>
      </c>
      <c r="M134" s="551">
        <v>225535</v>
      </c>
      <c r="N134" s="551">
        <v>665887</v>
      </c>
      <c r="O134" s="550">
        <f t="shared" ref="O134" si="235">P134+S134+V134</f>
        <v>157309</v>
      </c>
      <c r="P134" s="550">
        <f t="shared" ref="P134" si="236">Q134+R134</f>
        <v>0</v>
      </c>
      <c r="Q134" s="551">
        <v>0</v>
      </c>
      <c r="R134" s="551">
        <v>0</v>
      </c>
      <c r="S134" s="550">
        <f t="shared" ref="S134" si="237">T134+U134</f>
        <v>157309</v>
      </c>
      <c r="T134" s="551">
        <v>39800</v>
      </c>
      <c r="U134" s="551">
        <v>117509</v>
      </c>
      <c r="V134" s="550">
        <f t="shared" ref="V134" si="238">W134+X134</f>
        <v>0</v>
      </c>
      <c r="W134" s="551">
        <v>0</v>
      </c>
      <c r="X134" s="551">
        <v>0</v>
      </c>
    </row>
    <row r="135" spans="1:24" s="549" customFormat="1" ht="16.5" customHeight="1">
      <c r="A135" s="954"/>
      <c r="B135" s="955"/>
      <c r="C135" s="956"/>
      <c r="D135" s="957"/>
      <c r="E135" s="988"/>
      <c r="F135" s="954"/>
      <c r="G135" s="955"/>
      <c r="H135" s="548">
        <v>370598</v>
      </c>
      <c r="I135" s="548">
        <v>48759</v>
      </c>
      <c r="J135" s="958" t="s">
        <v>15</v>
      </c>
      <c r="K135" s="950">
        <f t="shared" ref="K135:X135" si="239">K132+K134</f>
        <v>2145601</v>
      </c>
      <c r="L135" s="950">
        <f t="shared" si="239"/>
        <v>1823762</v>
      </c>
      <c r="M135" s="951">
        <f t="shared" si="239"/>
        <v>240410</v>
      </c>
      <c r="N135" s="951">
        <f t="shared" si="239"/>
        <v>1583352</v>
      </c>
      <c r="O135" s="950">
        <f t="shared" si="239"/>
        <v>321839</v>
      </c>
      <c r="P135" s="950">
        <f t="shared" si="239"/>
        <v>0</v>
      </c>
      <c r="Q135" s="951">
        <f t="shared" si="239"/>
        <v>0</v>
      </c>
      <c r="R135" s="951">
        <f t="shared" si="239"/>
        <v>0</v>
      </c>
      <c r="S135" s="950">
        <f t="shared" si="239"/>
        <v>321839</v>
      </c>
      <c r="T135" s="951">
        <f t="shared" si="239"/>
        <v>42425</v>
      </c>
      <c r="U135" s="951">
        <f t="shared" si="239"/>
        <v>279414</v>
      </c>
      <c r="V135" s="950">
        <f t="shared" si="239"/>
        <v>0</v>
      </c>
      <c r="W135" s="951">
        <f t="shared" si="239"/>
        <v>0</v>
      </c>
      <c r="X135" s="951">
        <f t="shared" si="239"/>
        <v>0</v>
      </c>
    </row>
    <row r="136" spans="1:24" s="549" customFormat="1" ht="16.5" customHeight="1">
      <c r="A136" s="954"/>
      <c r="B136" s="955"/>
      <c r="C136" s="956"/>
      <c r="D136" s="957"/>
      <c r="E136" s="988"/>
      <c r="F136" s="954"/>
      <c r="G136" s="955"/>
      <c r="H136" s="548">
        <v>303360</v>
      </c>
      <c r="I136" s="548">
        <v>303360</v>
      </c>
      <c r="J136" s="959"/>
      <c r="K136" s="950"/>
      <c r="L136" s="950"/>
      <c r="M136" s="951"/>
      <c r="N136" s="951"/>
      <c r="O136" s="950"/>
      <c r="P136" s="950"/>
      <c r="Q136" s="951"/>
      <c r="R136" s="951"/>
      <c r="S136" s="950"/>
      <c r="T136" s="951"/>
      <c r="U136" s="951"/>
      <c r="V136" s="950"/>
      <c r="W136" s="951"/>
      <c r="X136" s="951"/>
    </row>
    <row r="137" spans="1:24" s="549" customFormat="1" ht="16.5" hidden="1" customHeight="1">
      <c r="A137" s="954">
        <v>23</v>
      </c>
      <c r="B137" s="989" t="s">
        <v>879</v>
      </c>
      <c r="C137" s="956" t="s">
        <v>989</v>
      </c>
      <c r="D137" s="990" t="s">
        <v>990</v>
      </c>
      <c r="E137" s="981" t="s">
        <v>962</v>
      </c>
      <c r="F137" s="954" t="s">
        <v>963</v>
      </c>
      <c r="G137" s="954" t="s">
        <v>968</v>
      </c>
      <c r="H137" s="548">
        <f>H139+H138+H140+H141</f>
        <v>177332795</v>
      </c>
      <c r="I137" s="548">
        <f>I139+I138+I140+I141</f>
        <v>32871710</v>
      </c>
      <c r="J137" s="958" t="s">
        <v>13</v>
      </c>
      <c r="K137" s="950">
        <f t="shared" ref="K137" si="240">L137+O137</f>
        <v>52282261</v>
      </c>
      <c r="L137" s="950">
        <f t="shared" ref="L137" si="241">M137+N137</f>
        <v>44390574</v>
      </c>
      <c r="M137" s="951">
        <v>129863</v>
      </c>
      <c r="N137" s="951">
        <v>44260711</v>
      </c>
      <c r="O137" s="950">
        <f t="shared" ref="O137" si="242">P137+S137+V137</f>
        <v>7891687</v>
      </c>
      <c r="P137" s="950">
        <f t="shared" ref="P137" si="243">Q137+R137</f>
        <v>0</v>
      </c>
      <c r="Q137" s="951">
        <v>0</v>
      </c>
      <c r="R137" s="951">
        <v>0</v>
      </c>
      <c r="S137" s="950">
        <f t="shared" ref="S137" si="244">T137+U137</f>
        <v>3520231</v>
      </c>
      <c r="T137" s="951">
        <v>22917</v>
      </c>
      <c r="U137" s="951">
        <v>3497314</v>
      </c>
      <c r="V137" s="950">
        <f t="shared" ref="V137" si="245">W137+X137</f>
        <v>4371456</v>
      </c>
      <c r="W137" s="951">
        <v>0</v>
      </c>
      <c r="X137" s="951">
        <v>4371456</v>
      </c>
    </row>
    <row r="138" spans="1:24" s="549" customFormat="1" ht="16.5" hidden="1" customHeight="1">
      <c r="A138" s="954"/>
      <c r="B138" s="989"/>
      <c r="C138" s="956"/>
      <c r="D138" s="990"/>
      <c r="E138" s="982"/>
      <c r="F138" s="954"/>
      <c r="G138" s="954"/>
      <c r="H138" s="548">
        <v>139899604</v>
      </c>
      <c r="I138" s="548">
        <v>24528905</v>
      </c>
      <c r="J138" s="959"/>
      <c r="K138" s="950"/>
      <c r="L138" s="950"/>
      <c r="M138" s="951"/>
      <c r="N138" s="951"/>
      <c r="O138" s="950"/>
      <c r="P138" s="950"/>
      <c r="Q138" s="951"/>
      <c r="R138" s="951"/>
      <c r="S138" s="950"/>
      <c r="T138" s="951"/>
      <c r="U138" s="951"/>
      <c r="V138" s="950"/>
      <c r="W138" s="951"/>
      <c r="X138" s="951"/>
    </row>
    <row r="139" spans="1:24" s="549" customFormat="1" ht="16.5" hidden="1" customHeight="1">
      <c r="A139" s="954"/>
      <c r="B139" s="989"/>
      <c r="C139" s="956"/>
      <c r="D139" s="990"/>
      <c r="E139" s="982"/>
      <c r="F139" s="954"/>
      <c r="G139" s="954"/>
      <c r="H139" s="548">
        <v>0</v>
      </c>
      <c r="I139" s="548">
        <v>0</v>
      </c>
      <c r="J139" s="548" t="s">
        <v>14</v>
      </c>
      <c r="K139" s="550">
        <f t="shared" ref="K139" si="246">L139+O139</f>
        <v>0</v>
      </c>
      <c r="L139" s="550">
        <f t="shared" ref="L139" si="247">M139+N139</f>
        <v>0</v>
      </c>
      <c r="M139" s="551">
        <v>0</v>
      </c>
      <c r="N139" s="551">
        <v>0</v>
      </c>
      <c r="O139" s="550">
        <f t="shared" ref="O139" si="248">P139+S139+V139</f>
        <v>0</v>
      </c>
      <c r="P139" s="550">
        <f t="shared" ref="P139" si="249">Q139+R139</f>
        <v>0</v>
      </c>
      <c r="Q139" s="551">
        <v>0</v>
      </c>
      <c r="R139" s="551">
        <v>0</v>
      </c>
      <c r="S139" s="550">
        <f t="shared" ref="S139" si="250">T139+U139</f>
        <v>0</v>
      </c>
      <c r="T139" s="551">
        <v>0</v>
      </c>
      <c r="U139" s="551">
        <v>0</v>
      </c>
      <c r="V139" s="550">
        <f t="shared" ref="V139" si="251">W139+X139</f>
        <v>0</v>
      </c>
      <c r="W139" s="551">
        <v>0</v>
      </c>
      <c r="X139" s="551">
        <v>0</v>
      </c>
    </row>
    <row r="140" spans="1:24" s="549" customFormat="1" ht="16.5" hidden="1" customHeight="1">
      <c r="A140" s="954"/>
      <c r="B140" s="989"/>
      <c r="C140" s="956"/>
      <c r="D140" s="990"/>
      <c r="E140" s="982"/>
      <c r="F140" s="954"/>
      <c r="G140" s="954"/>
      <c r="H140" s="548">
        <v>33061735</v>
      </c>
      <c r="I140" s="548">
        <v>8342805</v>
      </c>
      <c r="J140" s="958" t="s">
        <v>15</v>
      </c>
      <c r="K140" s="950">
        <f t="shared" ref="K140:X140" si="252">K137+K139</f>
        <v>52282261</v>
      </c>
      <c r="L140" s="950">
        <f t="shared" si="252"/>
        <v>44390574</v>
      </c>
      <c r="M140" s="951">
        <f t="shared" si="252"/>
        <v>129863</v>
      </c>
      <c r="N140" s="951">
        <f t="shared" si="252"/>
        <v>44260711</v>
      </c>
      <c r="O140" s="950">
        <f t="shared" si="252"/>
        <v>7891687</v>
      </c>
      <c r="P140" s="950">
        <f t="shared" si="252"/>
        <v>0</v>
      </c>
      <c r="Q140" s="951">
        <f t="shared" si="252"/>
        <v>0</v>
      </c>
      <c r="R140" s="951">
        <f t="shared" si="252"/>
        <v>0</v>
      </c>
      <c r="S140" s="950">
        <f t="shared" si="252"/>
        <v>3520231</v>
      </c>
      <c r="T140" s="951">
        <f t="shared" si="252"/>
        <v>22917</v>
      </c>
      <c r="U140" s="951">
        <f t="shared" si="252"/>
        <v>3497314</v>
      </c>
      <c r="V140" s="950">
        <f t="shared" si="252"/>
        <v>4371456</v>
      </c>
      <c r="W140" s="951">
        <f t="shared" si="252"/>
        <v>0</v>
      </c>
      <c r="X140" s="951">
        <f t="shared" si="252"/>
        <v>4371456</v>
      </c>
    </row>
    <row r="141" spans="1:24" s="549" customFormat="1" ht="16.5" hidden="1" customHeight="1">
      <c r="A141" s="954"/>
      <c r="B141" s="989"/>
      <c r="C141" s="956"/>
      <c r="D141" s="990"/>
      <c r="E141" s="983"/>
      <c r="F141" s="954"/>
      <c r="G141" s="954"/>
      <c r="H141" s="548">
        <v>4371456</v>
      </c>
      <c r="I141" s="548">
        <v>0</v>
      </c>
      <c r="J141" s="959"/>
      <c r="K141" s="950"/>
      <c r="L141" s="950"/>
      <c r="M141" s="951"/>
      <c r="N141" s="951"/>
      <c r="O141" s="950"/>
      <c r="P141" s="950"/>
      <c r="Q141" s="951"/>
      <c r="R141" s="951"/>
      <c r="S141" s="950"/>
      <c r="T141" s="951"/>
      <c r="U141" s="951"/>
      <c r="V141" s="950"/>
      <c r="W141" s="951"/>
      <c r="X141" s="951"/>
    </row>
    <row r="142" spans="1:24" s="549" customFormat="1" ht="16.5" hidden="1" customHeight="1">
      <c r="A142" s="954">
        <v>24</v>
      </c>
      <c r="B142" s="989" t="s">
        <v>879</v>
      </c>
      <c r="C142" s="956" t="s">
        <v>989</v>
      </c>
      <c r="D142" s="990" t="s">
        <v>991</v>
      </c>
      <c r="E142" s="981" t="s">
        <v>962</v>
      </c>
      <c r="F142" s="954" t="s">
        <v>963</v>
      </c>
      <c r="G142" s="954" t="s">
        <v>968</v>
      </c>
      <c r="H142" s="548">
        <f>H144+H143+H145+H146</f>
        <v>99783581</v>
      </c>
      <c r="I142" s="548">
        <f>I144+I143+I145+I146</f>
        <v>37906613</v>
      </c>
      <c r="J142" s="958" t="s">
        <v>13</v>
      </c>
      <c r="K142" s="950">
        <f t="shared" ref="K142" si="253">L142+O142</f>
        <v>46876968</v>
      </c>
      <c r="L142" s="950">
        <f t="shared" ref="L142" si="254">M142+N142</f>
        <v>39309453</v>
      </c>
      <c r="M142" s="951">
        <v>13797</v>
      </c>
      <c r="N142" s="951">
        <v>39295656</v>
      </c>
      <c r="O142" s="950">
        <f t="shared" ref="O142" si="255">P142+S142+V142</f>
        <v>7567515</v>
      </c>
      <c r="P142" s="950">
        <f t="shared" ref="P142" si="256">Q142+R142</f>
        <v>0</v>
      </c>
      <c r="Q142" s="951">
        <v>0</v>
      </c>
      <c r="R142" s="951">
        <v>0</v>
      </c>
      <c r="S142" s="950">
        <f t="shared" ref="S142" si="257">T142+U142</f>
        <v>6375861</v>
      </c>
      <c r="T142" s="951">
        <v>2435</v>
      </c>
      <c r="U142" s="951">
        <v>6373426</v>
      </c>
      <c r="V142" s="950">
        <f t="shared" ref="V142" si="258">W142+X142</f>
        <v>1191654</v>
      </c>
      <c r="W142" s="951">
        <v>0</v>
      </c>
      <c r="X142" s="951">
        <v>1191654</v>
      </c>
    </row>
    <row r="143" spans="1:24" s="549" customFormat="1" ht="16.5" hidden="1" customHeight="1">
      <c r="A143" s="954"/>
      <c r="B143" s="989"/>
      <c r="C143" s="956"/>
      <c r="D143" s="990"/>
      <c r="E143" s="982"/>
      <c r="F143" s="954"/>
      <c r="G143" s="954"/>
      <c r="H143" s="548">
        <v>80288675</v>
      </c>
      <c r="I143" s="548">
        <v>28229222</v>
      </c>
      <c r="J143" s="959"/>
      <c r="K143" s="950"/>
      <c r="L143" s="950"/>
      <c r="M143" s="951"/>
      <c r="N143" s="951"/>
      <c r="O143" s="950"/>
      <c r="P143" s="950"/>
      <c r="Q143" s="951"/>
      <c r="R143" s="951"/>
      <c r="S143" s="950"/>
      <c r="T143" s="951"/>
      <c r="U143" s="951"/>
      <c r="V143" s="950"/>
      <c r="W143" s="951"/>
      <c r="X143" s="951"/>
    </row>
    <row r="144" spans="1:24" s="549" customFormat="1" ht="16.5" hidden="1" customHeight="1">
      <c r="A144" s="954"/>
      <c r="B144" s="989"/>
      <c r="C144" s="956"/>
      <c r="D144" s="990"/>
      <c r="E144" s="982"/>
      <c r="F144" s="954"/>
      <c r="G144" s="954"/>
      <c r="H144" s="548">
        <v>0</v>
      </c>
      <c r="I144" s="548">
        <v>0</v>
      </c>
      <c r="J144" s="548" t="s">
        <v>14</v>
      </c>
      <c r="K144" s="550">
        <f t="shared" ref="K144" si="259">L144+O144</f>
        <v>0</v>
      </c>
      <c r="L144" s="550">
        <f t="shared" ref="L144" si="260">M144+N144</f>
        <v>0</v>
      </c>
      <c r="M144" s="551">
        <v>0</v>
      </c>
      <c r="N144" s="551">
        <v>0</v>
      </c>
      <c r="O144" s="550">
        <f t="shared" ref="O144" si="261">P144+S144+V144</f>
        <v>0</v>
      </c>
      <c r="P144" s="550">
        <f t="shared" ref="P144" si="262">Q144+R144</f>
        <v>0</v>
      </c>
      <c r="Q144" s="551">
        <v>0</v>
      </c>
      <c r="R144" s="551">
        <v>0</v>
      </c>
      <c r="S144" s="550">
        <f t="shared" ref="S144" si="263">T144+U144</f>
        <v>0</v>
      </c>
      <c r="T144" s="551">
        <v>0</v>
      </c>
      <c r="U144" s="551">
        <v>0</v>
      </c>
      <c r="V144" s="550">
        <f t="shared" ref="V144" si="264">W144+X144</f>
        <v>0</v>
      </c>
      <c r="W144" s="551">
        <v>0</v>
      </c>
      <c r="X144" s="551">
        <v>0</v>
      </c>
    </row>
    <row r="145" spans="1:24" s="549" customFormat="1" ht="16.5" hidden="1" customHeight="1">
      <c r="A145" s="954"/>
      <c r="B145" s="989"/>
      <c r="C145" s="956"/>
      <c r="D145" s="990"/>
      <c r="E145" s="982"/>
      <c r="F145" s="954"/>
      <c r="G145" s="954"/>
      <c r="H145" s="548">
        <v>17713662</v>
      </c>
      <c r="I145" s="548">
        <v>9087801</v>
      </c>
      <c r="J145" s="958" t="s">
        <v>15</v>
      </c>
      <c r="K145" s="950">
        <f t="shared" ref="K145:X145" si="265">K142+K144</f>
        <v>46876968</v>
      </c>
      <c r="L145" s="950">
        <f t="shared" si="265"/>
        <v>39309453</v>
      </c>
      <c r="M145" s="951">
        <f t="shared" si="265"/>
        <v>13797</v>
      </c>
      <c r="N145" s="951">
        <f t="shared" si="265"/>
        <v>39295656</v>
      </c>
      <c r="O145" s="950">
        <f t="shared" si="265"/>
        <v>7567515</v>
      </c>
      <c r="P145" s="950">
        <f t="shared" si="265"/>
        <v>0</v>
      </c>
      <c r="Q145" s="951">
        <f t="shared" si="265"/>
        <v>0</v>
      </c>
      <c r="R145" s="951">
        <f t="shared" si="265"/>
        <v>0</v>
      </c>
      <c r="S145" s="950">
        <f t="shared" si="265"/>
        <v>6375861</v>
      </c>
      <c r="T145" s="951">
        <f t="shared" si="265"/>
        <v>2435</v>
      </c>
      <c r="U145" s="951">
        <f t="shared" si="265"/>
        <v>6373426</v>
      </c>
      <c r="V145" s="950">
        <f t="shared" si="265"/>
        <v>1191654</v>
      </c>
      <c r="W145" s="951">
        <f t="shared" si="265"/>
        <v>0</v>
      </c>
      <c r="X145" s="951">
        <f t="shared" si="265"/>
        <v>1191654</v>
      </c>
    </row>
    <row r="146" spans="1:24" s="549" customFormat="1" ht="16.5" hidden="1" customHeight="1">
      <c r="A146" s="954"/>
      <c r="B146" s="989"/>
      <c r="C146" s="956"/>
      <c r="D146" s="990"/>
      <c r="E146" s="983"/>
      <c r="F146" s="954"/>
      <c r="G146" s="954"/>
      <c r="H146" s="548">
        <v>1781244</v>
      </c>
      <c r="I146" s="548">
        <v>589590</v>
      </c>
      <c r="J146" s="959"/>
      <c r="K146" s="950"/>
      <c r="L146" s="950"/>
      <c r="M146" s="951"/>
      <c r="N146" s="951"/>
      <c r="O146" s="950"/>
      <c r="P146" s="950"/>
      <c r="Q146" s="951"/>
      <c r="R146" s="951"/>
      <c r="S146" s="950"/>
      <c r="T146" s="951"/>
      <c r="U146" s="951"/>
      <c r="V146" s="950"/>
      <c r="W146" s="951"/>
      <c r="X146" s="951"/>
    </row>
    <row r="147" spans="1:24" s="549" customFormat="1" ht="16.5" hidden="1" customHeight="1">
      <c r="A147" s="954">
        <v>25</v>
      </c>
      <c r="B147" s="955" t="s">
        <v>879</v>
      </c>
      <c r="C147" s="956" t="s">
        <v>989</v>
      </c>
      <c r="D147" s="957" t="s">
        <v>992</v>
      </c>
      <c r="E147" s="981" t="s">
        <v>962</v>
      </c>
      <c r="F147" s="954" t="s">
        <v>963</v>
      </c>
      <c r="G147" s="955" t="s">
        <v>993</v>
      </c>
      <c r="H147" s="548">
        <f>H148+H149+H150+H151</f>
        <v>61655450</v>
      </c>
      <c r="I147" s="548">
        <f>I148+I149+I150+I151</f>
        <v>32847469</v>
      </c>
      <c r="J147" s="958" t="s">
        <v>13</v>
      </c>
      <c r="K147" s="950">
        <f t="shared" ref="K147" si="266">L147+O147</f>
        <v>28807981</v>
      </c>
      <c r="L147" s="950">
        <f t="shared" ref="L147" si="267">M147+N147</f>
        <v>18371168</v>
      </c>
      <c r="M147" s="951">
        <v>0</v>
      </c>
      <c r="N147" s="951">
        <v>18371168</v>
      </c>
      <c r="O147" s="950">
        <f t="shared" ref="O147" si="268">P147+S147+V147</f>
        <v>10436813</v>
      </c>
      <c r="P147" s="950">
        <f t="shared" ref="P147" si="269">Q147+R147</f>
        <v>0</v>
      </c>
      <c r="Q147" s="951">
        <v>0</v>
      </c>
      <c r="R147" s="951">
        <v>0</v>
      </c>
      <c r="S147" s="950">
        <f t="shared" ref="S147" si="270">T147+U147</f>
        <v>10436813</v>
      </c>
      <c r="T147" s="951">
        <v>0</v>
      </c>
      <c r="U147" s="951">
        <v>10436813</v>
      </c>
      <c r="V147" s="950">
        <f t="shared" ref="V147" si="271">W147+X147</f>
        <v>0</v>
      </c>
      <c r="W147" s="951">
        <v>0</v>
      </c>
      <c r="X147" s="951">
        <v>0</v>
      </c>
    </row>
    <row r="148" spans="1:24" s="549" customFormat="1" ht="16.5" hidden="1" customHeight="1">
      <c r="A148" s="954"/>
      <c r="B148" s="955"/>
      <c r="C148" s="956"/>
      <c r="D148" s="957"/>
      <c r="E148" s="982"/>
      <c r="F148" s="954"/>
      <c r="G148" s="955"/>
      <c r="H148" s="548">
        <v>39739609</v>
      </c>
      <c r="I148" s="548">
        <v>21368441</v>
      </c>
      <c r="J148" s="959"/>
      <c r="K148" s="950"/>
      <c r="L148" s="950"/>
      <c r="M148" s="951"/>
      <c r="N148" s="951"/>
      <c r="O148" s="950"/>
      <c r="P148" s="950"/>
      <c r="Q148" s="951"/>
      <c r="R148" s="951"/>
      <c r="S148" s="950"/>
      <c r="T148" s="951"/>
      <c r="U148" s="951"/>
      <c r="V148" s="950"/>
      <c r="W148" s="951"/>
      <c r="X148" s="951"/>
    </row>
    <row r="149" spans="1:24" s="549" customFormat="1" ht="16.5" hidden="1" customHeight="1">
      <c r="A149" s="954"/>
      <c r="B149" s="955"/>
      <c r="C149" s="956"/>
      <c r="D149" s="957"/>
      <c r="E149" s="982"/>
      <c r="F149" s="954"/>
      <c r="G149" s="955"/>
      <c r="H149" s="548">
        <v>0</v>
      </c>
      <c r="I149" s="548">
        <v>0</v>
      </c>
      <c r="J149" s="548" t="s">
        <v>14</v>
      </c>
      <c r="K149" s="550">
        <f t="shared" ref="K149" si="272">L149+O149</f>
        <v>0</v>
      </c>
      <c r="L149" s="550">
        <f t="shared" ref="L149" si="273">M149+N149</f>
        <v>0</v>
      </c>
      <c r="M149" s="551">
        <v>0</v>
      </c>
      <c r="N149" s="551">
        <v>0</v>
      </c>
      <c r="O149" s="550">
        <f t="shared" ref="O149" si="274">P149+S149+V149</f>
        <v>0</v>
      </c>
      <c r="P149" s="550">
        <f t="shared" ref="P149" si="275">Q149+R149</f>
        <v>0</v>
      </c>
      <c r="Q149" s="551">
        <v>0</v>
      </c>
      <c r="R149" s="551">
        <v>0</v>
      </c>
      <c r="S149" s="550">
        <f t="shared" ref="S149" si="276">T149+U149</f>
        <v>0</v>
      </c>
      <c r="T149" s="551">
        <v>0</v>
      </c>
      <c r="U149" s="551">
        <v>0</v>
      </c>
      <c r="V149" s="550">
        <f t="shared" ref="V149" si="277">W149+X149</f>
        <v>0</v>
      </c>
      <c r="W149" s="551">
        <v>0</v>
      </c>
      <c r="X149" s="551">
        <v>0</v>
      </c>
    </row>
    <row r="150" spans="1:24" s="549" customFormat="1" ht="16.5" hidden="1" customHeight="1">
      <c r="A150" s="954"/>
      <c r="B150" s="955"/>
      <c r="C150" s="956"/>
      <c r="D150" s="957"/>
      <c r="E150" s="982"/>
      <c r="F150" s="954"/>
      <c r="G150" s="955"/>
      <c r="H150" s="548">
        <v>21915841</v>
      </c>
      <c r="I150" s="548">
        <v>11479028</v>
      </c>
      <c r="J150" s="958" t="s">
        <v>15</v>
      </c>
      <c r="K150" s="950">
        <f t="shared" ref="K150:X150" si="278">K147+K149</f>
        <v>28807981</v>
      </c>
      <c r="L150" s="950">
        <f t="shared" si="278"/>
        <v>18371168</v>
      </c>
      <c r="M150" s="951">
        <f t="shared" si="278"/>
        <v>0</v>
      </c>
      <c r="N150" s="951">
        <f t="shared" si="278"/>
        <v>18371168</v>
      </c>
      <c r="O150" s="950">
        <f t="shared" si="278"/>
        <v>10436813</v>
      </c>
      <c r="P150" s="950">
        <f t="shared" si="278"/>
        <v>0</v>
      </c>
      <c r="Q150" s="951">
        <f t="shared" si="278"/>
        <v>0</v>
      </c>
      <c r="R150" s="951">
        <f t="shared" si="278"/>
        <v>0</v>
      </c>
      <c r="S150" s="950">
        <f t="shared" si="278"/>
        <v>10436813</v>
      </c>
      <c r="T150" s="951">
        <f t="shared" si="278"/>
        <v>0</v>
      </c>
      <c r="U150" s="951">
        <f t="shared" si="278"/>
        <v>10436813</v>
      </c>
      <c r="V150" s="950">
        <f t="shared" si="278"/>
        <v>0</v>
      </c>
      <c r="W150" s="951">
        <f t="shared" si="278"/>
        <v>0</v>
      </c>
      <c r="X150" s="951">
        <f t="shared" si="278"/>
        <v>0</v>
      </c>
    </row>
    <row r="151" spans="1:24" s="549" customFormat="1" ht="16.5" hidden="1" customHeight="1">
      <c r="A151" s="954"/>
      <c r="B151" s="955"/>
      <c r="C151" s="956"/>
      <c r="D151" s="957"/>
      <c r="E151" s="983"/>
      <c r="F151" s="954"/>
      <c r="G151" s="955"/>
      <c r="H151" s="548">
        <v>0</v>
      </c>
      <c r="I151" s="548">
        <v>0</v>
      </c>
      <c r="J151" s="959"/>
      <c r="K151" s="950"/>
      <c r="L151" s="950"/>
      <c r="M151" s="951"/>
      <c r="N151" s="951"/>
      <c r="O151" s="950"/>
      <c r="P151" s="950"/>
      <c r="Q151" s="951"/>
      <c r="R151" s="951"/>
      <c r="S151" s="950"/>
      <c r="T151" s="951"/>
      <c r="U151" s="951"/>
      <c r="V151" s="950"/>
      <c r="W151" s="951"/>
      <c r="X151" s="951"/>
    </row>
    <row r="152" spans="1:24" s="549" customFormat="1" ht="16.5" customHeight="1">
      <c r="A152" s="954">
        <v>20</v>
      </c>
      <c r="B152" s="955" t="s">
        <v>879</v>
      </c>
      <c r="C152" s="956" t="s">
        <v>989</v>
      </c>
      <c r="D152" s="957" t="s">
        <v>994</v>
      </c>
      <c r="E152" s="981" t="s">
        <v>962</v>
      </c>
      <c r="F152" s="954" t="s">
        <v>963</v>
      </c>
      <c r="G152" s="955" t="s">
        <v>993</v>
      </c>
      <c r="H152" s="548">
        <f>H153+H154+H155+H156</f>
        <v>17405259</v>
      </c>
      <c r="I152" s="548">
        <f>I153+I154+I155+I156</f>
        <v>10527054</v>
      </c>
      <c r="J152" s="958" t="s">
        <v>13</v>
      </c>
      <c r="K152" s="950">
        <f t="shared" ref="K152" si="279">L152+O152</f>
        <v>6728795</v>
      </c>
      <c r="L152" s="950">
        <f t="shared" ref="L152" si="280">M152+N152</f>
        <v>5322836</v>
      </c>
      <c r="M152" s="951">
        <v>19360</v>
      </c>
      <c r="N152" s="951">
        <v>5303476</v>
      </c>
      <c r="O152" s="950">
        <f t="shared" ref="O152" si="281">P152+S152+V152</f>
        <v>1405959</v>
      </c>
      <c r="P152" s="950">
        <f t="shared" ref="P152" si="282">Q152+R152</f>
        <v>710210</v>
      </c>
      <c r="Q152" s="951">
        <v>2581</v>
      </c>
      <c r="R152" s="951">
        <v>707629</v>
      </c>
      <c r="S152" s="950">
        <f t="shared" ref="S152" si="283">T152+U152</f>
        <v>695749</v>
      </c>
      <c r="T152" s="951">
        <v>3873</v>
      </c>
      <c r="U152" s="951">
        <v>691876</v>
      </c>
      <c r="V152" s="950">
        <f t="shared" ref="V152" si="284">W152+X152</f>
        <v>0</v>
      </c>
      <c r="W152" s="951">
        <v>0</v>
      </c>
      <c r="X152" s="951">
        <v>0</v>
      </c>
    </row>
    <row r="153" spans="1:24" s="549" customFormat="1" ht="16.5" customHeight="1">
      <c r="A153" s="954"/>
      <c r="B153" s="955"/>
      <c r="C153" s="956"/>
      <c r="D153" s="957"/>
      <c r="E153" s="982"/>
      <c r="F153" s="954"/>
      <c r="G153" s="955"/>
      <c r="H153" s="548">
        <v>13053944</v>
      </c>
      <c r="I153" s="548">
        <v>7619050</v>
      </c>
      <c r="J153" s="959"/>
      <c r="K153" s="950"/>
      <c r="L153" s="950"/>
      <c r="M153" s="951"/>
      <c r="N153" s="951"/>
      <c r="O153" s="950"/>
      <c r="P153" s="950"/>
      <c r="Q153" s="951"/>
      <c r="R153" s="951"/>
      <c r="S153" s="950"/>
      <c r="T153" s="951"/>
      <c r="U153" s="951"/>
      <c r="V153" s="950"/>
      <c r="W153" s="951"/>
      <c r="X153" s="951"/>
    </row>
    <row r="154" spans="1:24" s="549" customFormat="1" ht="16.5" customHeight="1">
      <c r="A154" s="954"/>
      <c r="B154" s="955"/>
      <c r="C154" s="956"/>
      <c r="D154" s="957"/>
      <c r="E154" s="982"/>
      <c r="F154" s="954"/>
      <c r="G154" s="955"/>
      <c r="H154" s="548">
        <v>1740526</v>
      </c>
      <c r="I154" s="548">
        <v>1015375</v>
      </c>
      <c r="J154" s="548" t="s">
        <v>14</v>
      </c>
      <c r="K154" s="550">
        <f t="shared" ref="K154" si="285">L154+O154</f>
        <v>149410</v>
      </c>
      <c r="L154" s="550">
        <f t="shared" ref="L154" si="286">M154+N154</f>
        <v>112058</v>
      </c>
      <c r="M154" s="551">
        <v>19654</v>
      </c>
      <c r="N154" s="551">
        <v>92404</v>
      </c>
      <c r="O154" s="550">
        <f t="shared" ref="O154" si="287">P154+S154+V154</f>
        <v>37352</v>
      </c>
      <c r="P154" s="550">
        <f t="shared" ref="P154" si="288">Q154+R154</f>
        <v>14941</v>
      </c>
      <c r="Q154" s="551">
        <v>2620</v>
      </c>
      <c r="R154" s="551">
        <v>12321</v>
      </c>
      <c r="S154" s="550">
        <f t="shared" ref="S154" si="289">T154+U154</f>
        <v>22411</v>
      </c>
      <c r="T154" s="551">
        <v>3930</v>
      </c>
      <c r="U154" s="551">
        <v>18481</v>
      </c>
      <c r="V154" s="550">
        <f t="shared" ref="V154" si="290">W154+X154</f>
        <v>0</v>
      </c>
      <c r="W154" s="551">
        <v>0</v>
      </c>
      <c r="X154" s="551">
        <v>0</v>
      </c>
    </row>
    <row r="155" spans="1:24" s="549" customFormat="1" ht="16.5" customHeight="1">
      <c r="A155" s="954"/>
      <c r="B155" s="955"/>
      <c r="C155" s="956"/>
      <c r="D155" s="957"/>
      <c r="E155" s="982"/>
      <c r="F155" s="954"/>
      <c r="G155" s="955"/>
      <c r="H155" s="548">
        <v>2610789</v>
      </c>
      <c r="I155" s="548">
        <v>1892629</v>
      </c>
      <c r="J155" s="958" t="s">
        <v>15</v>
      </c>
      <c r="K155" s="950">
        <f t="shared" ref="K155:X155" si="291">K152+K154</f>
        <v>6878205</v>
      </c>
      <c r="L155" s="950">
        <f t="shared" si="291"/>
        <v>5434894</v>
      </c>
      <c r="M155" s="951">
        <f t="shared" si="291"/>
        <v>39014</v>
      </c>
      <c r="N155" s="951">
        <f t="shared" si="291"/>
        <v>5395880</v>
      </c>
      <c r="O155" s="950">
        <f t="shared" si="291"/>
        <v>1443311</v>
      </c>
      <c r="P155" s="950">
        <f t="shared" si="291"/>
        <v>725151</v>
      </c>
      <c r="Q155" s="951">
        <f t="shared" si="291"/>
        <v>5201</v>
      </c>
      <c r="R155" s="951">
        <f t="shared" si="291"/>
        <v>719950</v>
      </c>
      <c r="S155" s="950">
        <f t="shared" si="291"/>
        <v>718160</v>
      </c>
      <c r="T155" s="951">
        <f t="shared" si="291"/>
        <v>7803</v>
      </c>
      <c r="U155" s="951">
        <f t="shared" si="291"/>
        <v>710357</v>
      </c>
      <c r="V155" s="950">
        <f t="shared" si="291"/>
        <v>0</v>
      </c>
      <c r="W155" s="951">
        <f t="shared" si="291"/>
        <v>0</v>
      </c>
      <c r="X155" s="951">
        <f t="shared" si="291"/>
        <v>0</v>
      </c>
    </row>
    <row r="156" spans="1:24" s="549" customFormat="1" ht="16.5" customHeight="1">
      <c r="A156" s="954"/>
      <c r="B156" s="955"/>
      <c r="C156" s="956"/>
      <c r="D156" s="957"/>
      <c r="E156" s="983"/>
      <c r="F156" s="954"/>
      <c r="G156" s="955"/>
      <c r="H156" s="548">
        <v>0</v>
      </c>
      <c r="I156" s="548">
        <v>0</v>
      </c>
      <c r="J156" s="959"/>
      <c r="K156" s="950"/>
      <c r="L156" s="950"/>
      <c r="M156" s="951"/>
      <c r="N156" s="951"/>
      <c r="O156" s="950"/>
      <c r="P156" s="950"/>
      <c r="Q156" s="951"/>
      <c r="R156" s="951"/>
      <c r="S156" s="950"/>
      <c r="T156" s="951"/>
      <c r="U156" s="951"/>
      <c r="V156" s="950"/>
      <c r="W156" s="951"/>
      <c r="X156" s="951"/>
    </row>
    <row r="157" spans="1:24" s="549" customFormat="1" ht="16.5" hidden="1" customHeight="1">
      <c r="A157" s="954">
        <v>27</v>
      </c>
      <c r="B157" s="955" t="s">
        <v>879</v>
      </c>
      <c r="C157" s="956" t="s">
        <v>989</v>
      </c>
      <c r="D157" s="957" t="s">
        <v>995</v>
      </c>
      <c r="E157" s="981" t="s">
        <v>962</v>
      </c>
      <c r="F157" s="954" t="s">
        <v>963</v>
      </c>
      <c r="G157" s="955" t="s">
        <v>971</v>
      </c>
      <c r="H157" s="548">
        <f>H158+H159+H160+H161</f>
        <v>65000000</v>
      </c>
      <c r="I157" s="548">
        <f>I158+I159+I160+I161</f>
        <v>125795</v>
      </c>
      <c r="J157" s="958" t="s">
        <v>13</v>
      </c>
      <c r="K157" s="950">
        <f t="shared" ref="K157" si="292">L157+O157</f>
        <v>5000000</v>
      </c>
      <c r="L157" s="950">
        <f t="shared" ref="L157" si="293">M157+N157</f>
        <v>4250000</v>
      </c>
      <c r="M157" s="951">
        <v>230570</v>
      </c>
      <c r="N157" s="951">
        <v>4019430</v>
      </c>
      <c r="O157" s="950">
        <f t="shared" ref="O157" si="294">P157+S157+V157</f>
        <v>750000</v>
      </c>
      <c r="P157" s="950">
        <f t="shared" ref="P157" si="295">Q157+R157</f>
        <v>500000</v>
      </c>
      <c r="Q157" s="951">
        <v>27125</v>
      </c>
      <c r="R157" s="951">
        <v>472875</v>
      </c>
      <c r="S157" s="950">
        <f t="shared" ref="S157" si="296">T157+U157</f>
        <v>250000</v>
      </c>
      <c r="T157" s="951">
        <v>13563</v>
      </c>
      <c r="U157" s="951">
        <v>236437</v>
      </c>
      <c r="V157" s="950">
        <f t="shared" ref="V157" si="297">W157+X157</f>
        <v>0</v>
      </c>
      <c r="W157" s="951">
        <v>0</v>
      </c>
      <c r="X157" s="951">
        <v>0</v>
      </c>
    </row>
    <row r="158" spans="1:24" s="549" customFormat="1" ht="16.5" hidden="1" customHeight="1">
      <c r="A158" s="954"/>
      <c r="B158" s="955"/>
      <c r="C158" s="956"/>
      <c r="D158" s="957"/>
      <c r="E158" s="982"/>
      <c r="F158" s="954"/>
      <c r="G158" s="955"/>
      <c r="H158" s="548">
        <v>55250000</v>
      </c>
      <c r="I158" s="548">
        <v>0</v>
      </c>
      <c r="J158" s="959"/>
      <c r="K158" s="950"/>
      <c r="L158" s="950"/>
      <c r="M158" s="951"/>
      <c r="N158" s="951"/>
      <c r="O158" s="950"/>
      <c r="P158" s="950"/>
      <c r="Q158" s="951"/>
      <c r="R158" s="951"/>
      <c r="S158" s="950"/>
      <c r="T158" s="951"/>
      <c r="U158" s="951"/>
      <c r="V158" s="950"/>
      <c r="W158" s="951"/>
      <c r="X158" s="951"/>
    </row>
    <row r="159" spans="1:24" s="549" customFormat="1" ht="16.5" hidden="1" customHeight="1">
      <c r="A159" s="954"/>
      <c r="B159" s="955"/>
      <c r="C159" s="956"/>
      <c r="D159" s="957"/>
      <c r="E159" s="982"/>
      <c r="F159" s="954"/>
      <c r="G159" s="955"/>
      <c r="H159" s="548">
        <v>6500000</v>
      </c>
      <c r="I159" s="548">
        <v>0</v>
      </c>
      <c r="J159" s="548" t="s">
        <v>14</v>
      </c>
      <c r="K159" s="550">
        <f t="shared" ref="K159" si="298">L159+O159</f>
        <v>0</v>
      </c>
      <c r="L159" s="550">
        <f t="shared" ref="L159" si="299">M159+N159</f>
        <v>0</v>
      </c>
      <c r="M159" s="551">
        <v>0</v>
      </c>
      <c r="N159" s="551">
        <v>0</v>
      </c>
      <c r="O159" s="550">
        <f t="shared" ref="O159" si="300">P159+S159+V159</f>
        <v>0</v>
      </c>
      <c r="P159" s="550">
        <f t="shared" ref="P159" si="301">Q159+R159</f>
        <v>0</v>
      </c>
      <c r="Q159" s="551">
        <v>0</v>
      </c>
      <c r="R159" s="551">
        <v>0</v>
      </c>
      <c r="S159" s="550">
        <f t="shared" ref="S159" si="302">T159+U159</f>
        <v>0</v>
      </c>
      <c r="T159" s="551">
        <v>0</v>
      </c>
      <c r="U159" s="551">
        <v>0</v>
      </c>
      <c r="V159" s="550">
        <f t="shared" ref="V159" si="303">W159+X159</f>
        <v>0</v>
      </c>
      <c r="W159" s="551">
        <v>0</v>
      </c>
      <c r="X159" s="551">
        <v>0</v>
      </c>
    </row>
    <row r="160" spans="1:24" s="549" customFormat="1" ht="16.5" hidden="1" customHeight="1">
      <c r="A160" s="954"/>
      <c r="B160" s="955"/>
      <c r="C160" s="956"/>
      <c r="D160" s="957"/>
      <c r="E160" s="982"/>
      <c r="F160" s="954"/>
      <c r="G160" s="955"/>
      <c r="H160" s="548">
        <v>3250000</v>
      </c>
      <c r="I160" s="548">
        <v>125795</v>
      </c>
      <c r="J160" s="958" t="s">
        <v>15</v>
      </c>
      <c r="K160" s="950">
        <f t="shared" ref="K160:X160" si="304">K157+K159</f>
        <v>5000000</v>
      </c>
      <c r="L160" s="950">
        <f t="shared" si="304"/>
        <v>4250000</v>
      </c>
      <c r="M160" s="951">
        <f t="shared" si="304"/>
        <v>230570</v>
      </c>
      <c r="N160" s="951">
        <f t="shared" si="304"/>
        <v>4019430</v>
      </c>
      <c r="O160" s="950">
        <f t="shared" si="304"/>
        <v>750000</v>
      </c>
      <c r="P160" s="950">
        <f t="shared" si="304"/>
        <v>500000</v>
      </c>
      <c r="Q160" s="951">
        <f t="shared" si="304"/>
        <v>27125</v>
      </c>
      <c r="R160" s="951">
        <f t="shared" si="304"/>
        <v>472875</v>
      </c>
      <c r="S160" s="950">
        <f t="shared" si="304"/>
        <v>250000</v>
      </c>
      <c r="T160" s="951">
        <f t="shared" si="304"/>
        <v>13563</v>
      </c>
      <c r="U160" s="951">
        <f t="shared" si="304"/>
        <v>236437</v>
      </c>
      <c r="V160" s="950">
        <f t="shared" si="304"/>
        <v>0</v>
      </c>
      <c r="W160" s="951">
        <f t="shared" si="304"/>
        <v>0</v>
      </c>
      <c r="X160" s="951">
        <f t="shared" si="304"/>
        <v>0</v>
      </c>
    </row>
    <row r="161" spans="1:24" s="549" customFormat="1" ht="16.5" hidden="1" customHeight="1">
      <c r="A161" s="954"/>
      <c r="B161" s="955"/>
      <c r="C161" s="956"/>
      <c r="D161" s="957"/>
      <c r="E161" s="983"/>
      <c r="F161" s="954"/>
      <c r="G161" s="955"/>
      <c r="H161" s="548">
        <v>0</v>
      </c>
      <c r="I161" s="548">
        <v>0</v>
      </c>
      <c r="J161" s="959"/>
      <c r="K161" s="950"/>
      <c r="L161" s="950"/>
      <c r="M161" s="951"/>
      <c r="N161" s="951"/>
      <c r="O161" s="950"/>
      <c r="P161" s="950"/>
      <c r="Q161" s="951"/>
      <c r="R161" s="951"/>
      <c r="S161" s="950"/>
      <c r="T161" s="951"/>
      <c r="U161" s="951"/>
      <c r="V161" s="950"/>
      <c r="W161" s="951"/>
      <c r="X161" s="951"/>
    </row>
    <row r="162" spans="1:24" s="549" customFormat="1" ht="16.5" hidden="1" customHeight="1">
      <c r="A162" s="954">
        <v>28</v>
      </c>
      <c r="B162" s="955" t="s">
        <v>879</v>
      </c>
      <c r="C162" s="956" t="s">
        <v>989</v>
      </c>
      <c r="D162" s="957" t="s">
        <v>996</v>
      </c>
      <c r="E162" s="981" t="s">
        <v>962</v>
      </c>
      <c r="F162" s="954" t="s">
        <v>963</v>
      </c>
      <c r="G162" s="955" t="s">
        <v>997</v>
      </c>
      <c r="H162" s="548">
        <f>H163+H164+H165+H166</f>
        <v>53698714</v>
      </c>
      <c r="I162" s="548">
        <f>I163+I164+I165+I166</f>
        <v>130741</v>
      </c>
      <c r="J162" s="958" t="s">
        <v>13</v>
      </c>
      <c r="K162" s="950">
        <f t="shared" ref="K162" si="305">L162+O162</f>
        <v>1500000</v>
      </c>
      <c r="L162" s="950">
        <f t="shared" ref="L162" si="306">M162+N162</f>
        <v>1091853</v>
      </c>
      <c r="M162" s="951">
        <v>159320</v>
      </c>
      <c r="N162" s="951">
        <v>932533</v>
      </c>
      <c r="O162" s="950">
        <f t="shared" ref="O162" si="307">P162+S162+V162</f>
        <v>408147</v>
      </c>
      <c r="P162" s="950">
        <f t="shared" ref="P162" si="308">Q162+R162</f>
        <v>128454</v>
      </c>
      <c r="Q162" s="951">
        <v>18744</v>
      </c>
      <c r="R162" s="951">
        <v>109710</v>
      </c>
      <c r="S162" s="950">
        <f t="shared" ref="S162" si="309">T162+U162</f>
        <v>279693</v>
      </c>
      <c r="T162" s="951">
        <v>40812</v>
      </c>
      <c r="U162" s="951">
        <v>238881</v>
      </c>
      <c r="V162" s="950">
        <f t="shared" ref="V162" si="310">W162+X162</f>
        <v>0</v>
      </c>
      <c r="W162" s="951">
        <v>0</v>
      </c>
      <c r="X162" s="951">
        <v>0</v>
      </c>
    </row>
    <row r="163" spans="1:24" s="549" customFormat="1" ht="16.5" hidden="1" customHeight="1">
      <c r="A163" s="954"/>
      <c r="B163" s="955"/>
      <c r="C163" s="956"/>
      <c r="D163" s="957"/>
      <c r="E163" s="982"/>
      <c r="F163" s="954"/>
      <c r="G163" s="955"/>
      <c r="H163" s="548">
        <v>39012394</v>
      </c>
      <c r="I163" s="548">
        <v>0</v>
      </c>
      <c r="J163" s="959"/>
      <c r="K163" s="950"/>
      <c r="L163" s="950"/>
      <c r="M163" s="951"/>
      <c r="N163" s="951"/>
      <c r="O163" s="950"/>
      <c r="P163" s="950"/>
      <c r="Q163" s="951"/>
      <c r="R163" s="951"/>
      <c r="S163" s="950"/>
      <c r="T163" s="951"/>
      <c r="U163" s="951"/>
      <c r="V163" s="950"/>
      <c r="W163" s="951"/>
      <c r="X163" s="951"/>
    </row>
    <row r="164" spans="1:24" s="549" customFormat="1" ht="16.5" hidden="1" customHeight="1">
      <c r="A164" s="954"/>
      <c r="B164" s="955"/>
      <c r="C164" s="956"/>
      <c r="D164" s="957"/>
      <c r="E164" s="982"/>
      <c r="F164" s="954"/>
      <c r="G164" s="955"/>
      <c r="H164" s="548">
        <v>4589693</v>
      </c>
      <c r="I164" s="548">
        <v>0</v>
      </c>
      <c r="J164" s="548" t="s">
        <v>14</v>
      </c>
      <c r="K164" s="550">
        <f t="shared" ref="K164" si="311">L164+O164</f>
        <v>0</v>
      </c>
      <c r="L164" s="550">
        <f t="shared" ref="L164" si="312">M164+N164</f>
        <v>0</v>
      </c>
      <c r="M164" s="551">
        <v>0</v>
      </c>
      <c r="N164" s="551">
        <v>0</v>
      </c>
      <c r="O164" s="550">
        <f t="shared" ref="O164" si="313">P164+S164+V164</f>
        <v>0</v>
      </c>
      <c r="P164" s="550">
        <f t="shared" ref="P164" si="314">Q164+R164</f>
        <v>0</v>
      </c>
      <c r="Q164" s="551">
        <v>0</v>
      </c>
      <c r="R164" s="551">
        <v>0</v>
      </c>
      <c r="S164" s="550">
        <f t="shared" ref="S164" si="315">T164+U164</f>
        <v>0</v>
      </c>
      <c r="T164" s="551">
        <v>0</v>
      </c>
      <c r="U164" s="551">
        <v>0</v>
      </c>
      <c r="V164" s="550">
        <f t="shared" ref="V164" si="316">W164+X164</f>
        <v>0</v>
      </c>
      <c r="W164" s="551">
        <v>0</v>
      </c>
      <c r="X164" s="551">
        <v>0</v>
      </c>
    </row>
    <row r="165" spans="1:24" s="549" customFormat="1" ht="16.5" hidden="1" customHeight="1">
      <c r="A165" s="954"/>
      <c r="B165" s="955"/>
      <c r="C165" s="956"/>
      <c r="D165" s="957"/>
      <c r="E165" s="982"/>
      <c r="F165" s="954"/>
      <c r="G165" s="955"/>
      <c r="H165" s="548">
        <v>10096627</v>
      </c>
      <c r="I165" s="548">
        <v>130741</v>
      </c>
      <c r="J165" s="958" t="s">
        <v>15</v>
      </c>
      <c r="K165" s="950">
        <f t="shared" ref="K165:X165" si="317">K162+K164</f>
        <v>1500000</v>
      </c>
      <c r="L165" s="950">
        <f t="shared" si="317"/>
        <v>1091853</v>
      </c>
      <c r="M165" s="951">
        <f t="shared" si="317"/>
        <v>159320</v>
      </c>
      <c r="N165" s="951">
        <f t="shared" si="317"/>
        <v>932533</v>
      </c>
      <c r="O165" s="950">
        <f t="shared" si="317"/>
        <v>408147</v>
      </c>
      <c r="P165" s="950">
        <f t="shared" si="317"/>
        <v>128454</v>
      </c>
      <c r="Q165" s="951">
        <f t="shared" si="317"/>
        <v>18744</v>
      </c>
      <c r="R165" s="951">
        <f t="shared" si="317"/>
        <v>109710</v>
      </c>
      <c r="S165" s="950">
        <f t="shared" si="317"/>
        <v>279693</v>
      </c>
      <c r="T165" s="951">
        <f t="shared" si="317"/>
        <v>40812</v>
      </c>
      <c r="U165" s="951">
        <f t="shared" si="317"/>
        <v>238881</v>
      </c>
      <c r="V165" s="950">
        <f t="shared" si="317"/>
        <v>0</v>
      </c>
      <c r="W165" s="951">
        <f t="shared" si="317"/>
        <v>0</v>
      </c>
      <c r="X165" s="951">
        <f t="shared" si="317"/>
        <v>0</v>
      </c>
    </row>
    <row r="166" spans="1:24" s="549" customFormat="1" ht="16.5" hidden="1" customHeight="1">
      <c r="A166" s="954"/>
      <c r="B166" s="955"/>
      <c r="C166" s="956"/>
      <c r="D166" s="957"/>
      <c r="E166" s="983"/>
      <c r="F166" s="954"/>
      <c r="G166" s="955"/>
      <c r="H166" s="548">
        <v>0</v>
      </c>
      <c r="I166" s="548">
        <v>0</v>
      </c>
      <c r="J166" s="959"/>
      <c r="K166" s="950"/>
      <c r="L166" s="950"/>
      <c r="M166" s="951"/>
      <c r="N166" s="951"/>
      <c r="O166" s="950"/>
      <c r="P166" s="950"/>
      <c r="Q166" s="951"/>
      <c r="R166" s="951"/>
      <c r="S166" s="950"/>
      <c r="T166" s="951"/>
      <c r="U166" s="951"/>
      <c r="V166" s="950"/>
      <c r="W166" s="951"/>
      <c r="X166" s="951"/>
    </row>
    <row r="167" spans="1:24" s="549" customFormat="1" ht="16.5" hidden="1" customHeight="1">
      <c r="A167" s="954">
        <v>29</v>
      </c>
      <c r="B167" s="955" t="s">
        <v>879</v>
      </c>
      <c r="C167" s="956" t="s">
        <v>989</v>
      </c>
      <c r="D167" s="957" t="s">
        <v>998</v>
      </c>
      <c r="E167" s="981" t="s">
        <v>962</v>
      </c>
      <c r="F167" s="954" t="s">
        <v>963</v>
      </c>
      <c r="G167" s="955" t="s">
        <v>993</v>
      </c>
      <c r="H167" s="548">
        <f>H168+H169+H170+H171</f>
        <v>20905199</v>
      </c>
      <c r="I167" s="548">
        <f>I168+I169+I170+I171</f>
        <v>5541642</v>
      </c>
      <c r="J167" s="958" t="s">
        <v>13</v>
      </c>
      <c r="K167" s="950">
        <f t="shared" ref="K167" si="318">L167+O167</f>
        <v>15363557</v>
      </c>
      <c r="L167" s="950">
        <f t="shared" ref="L167" si="319">M167+N167</f>
        <v>12052410</v>
      </c>
      <c r="M167" s="951">
        <v>56519</v>
      </c>
      <c r="N167" s="951">
        <v>11995891</v>
      </c>
      <c r="O167" s="950">
        <f t="shared" ref="O167" si="320">P167+S167+V167</f>
        <v>3311147</v>
      </c>
      <c r="P167" s="950">
        <f t="shared" ref="P167" si="321">Q167+R167</f>
        <v>0</v>
      </c>
      <c r="Q167" s="951">
        <v>0</v>
      </c>
      <c r="R167" s="951">
        <v>0</v>
      </c>
      <c r="S167" s="950">
        <f t="shared" ref="S167" si="322">T167+U167</f>
        <v>2198366</v>
      </c>
      <c r="T167" s="951">
        <v>9973</v>
      </c>
      <c r="U167" s="951">
        <v>2188393</v>
      </c>
      <c r="V167" s="950">
        <f t="shared" ref="V167" si="323">W167+X167</f>
        <v>1112781</v>
      </c>
      <c r="W167" s="951">
        <v>0</v>
      </c>
      <c r="X167" s="951">
        <v>1112781</v>
      </c>
    </row>
    <row r="168" spans="1:24" s="549" customFormat="1" ht="16.5" hidden="1" customHeight="1">
      <c r="A168" s="954"/>
      <c r="B168" s="955"/>
      <c r="C168" s="956"/>
      <c r="D168" s="957"/>
      <c r="E168" s="982"/>
      <c r="F168" s="954"/>
      <c r="G168" s="955"/>
      <c r="H168" s="548">
        <v>15751934</v>
      </c>
      <c r="I168" s="548">
        <v>3699524</v>
      </c>
      <c r="J168" s="959"/>
      <c r="K168" s="950"/>
      <c r="L168" s="950"/>
      <c r="M168" s="951"/>
      <c r="N168" s="951"/>
      <c r="O168" s="950"/>
      <c r="P168" s="950"/>
      <c r="Q168" s="951"/>
      <c r="R168" s="951"/>
      <c r="S168" s="950"/>
      <c r="T168" s="951"/>
      <c r="U168" s="951"/>
      <c r="V168" s="950"/>
      <c r="W168" s="951"/>
      <c r="X168" s="951"/>
    </row>
    <row r="169" spans="1:24" s="549" customFormat="1" ht="16.5" hidden="1" customHeight="1">
      <c r="A169" s="954"/>
      <c r="B169" s="955"/>
      <c r="C169" s="956"/>
      <c r="D169" s="957"/>
      <c r="E169" s="982"/>
      <c r="F169" s="954"/>
      <c r="G169" s="955"/>
      <c r="H169" s="548">
        <v>0</v>
      </c>
      <c r="I169" s="548">
        <v>0</v>
      </c>
      <c r="J169" s="548" t="s">
        <v>14</v>
      </c>
      <c r="K169" s="550">
        <f t="shared" ref="K169" si="324">L169+O169</f>
        <v>0</v>
      </c>
      <c r="L169" s="550">
        <f t="shared" ref="L169" si="325">M169+N169</f>
        <v>0</v>
      </c>
      <c r="M169" s="551">
        <v>0</v>
      </c>
      <c r="N169" s="551">
        <v>0</v>
      </c>
      <c r="O169" s="550">
        <f t="shared" ref="O169" si="326">P169+S169+V169</f>
        <v>0</v>
      </c>
      <c r="P169" s="550">
        <f t="shared" ref="P169" si="327">Q169+R169</f>
        <v>0</v>
      </c>
      <c r="Q169" s="551">
        <v>0</v>
      </c>
      <c r="R169" s="551">
        <v>0</v>
      </c>
      <c r="S169" s="550">
        <f t="shared" ref="S169" si="328">T169+U169</f>
        <v>0</v>
      </c>
      <c r="T169" s="551">
        <v>0</v>
      </c>
      <c r="U169" s="551">
        <v>0</v>
      </c>
      <c r="V169" s="550">
        <f t="shared" ref="V169" si="329">W169+X169</f>
        <v>0</v>
      </c>
      <c r="W169" s="551">
        <v>0</v>
      </c>
      <c r="X169" s="551">
        <v>0</v>
      </c>
    </row>
    <row r="170" spans="1:24" s="549" customFormat="1" ht="16.5" hidden="1" customHeight="1">
      <c r="A170" s="954"/>
      <c r="B170" s="955"/>
      <c r="C170" s="956"/>
      <c r="D170" s="957"/>
      <c r="E170" s="982"/>
      <c r="F170" s="954"/>
      <c r="G170" s="955"/>
      <c r="H170" s="548">
        <v>3681615</v>
      </c>
      <c r="I170" s="548">
        <v>1483249</v>
      </c>
      <c r="J170" s="958" t="s">
        <v>15</v>
      </c>
      <c r="K170" s="950">
        <f t="shared" ref="K170:X170" si="330">K167+K169</f>
        <v>15363557</v>
      </c>
      <c r="L170" s="950">
        <f t="shared" si="330"/>
        <v>12052410</v>
      </c>
      <c r="M170" s="951">
        <f t="shared" si="330"/>
        <v>56519</v>
      </c>
      <c r="N170" s="951">
        <f t="shared" si="330"/>
        <v>11995891</v>
      </c>
      <c r="O170" s="950">
        <f t="shared" si="330"/>
        <v>3311147</v>
      </c>
      <c r="P170" s="950">
        <f t="shared" si="330"/>
        <v>0</v>
      </c>
      <c r="Q170" s="951">
        <f t="shared" si="330"/>
        <v>0</v>
      </c>
      <c r="R170" s="951">
        <f t="shared" si="330"/>
        <v>0</v>
      </c>
      <c r="S170" s="950">
        <f t="shared" si="330"/>
        <v>2198366</v>
      </c>
      <c r="T170" s="951">
        <f t="shared" si="330"/>
        <v>9973</v>
      </c>
      <c r="U170" s="951">
        <f t="shared" si="330"/>
        <v>2188393</v>
      </c>
      <c r="V170" s="950">
        <f t="shared" si="330"/>
        <v>1112781</v>
      </c>
      <c r="W170" s="951">
        <f t="shared" si="330"/>
        <v>0</v>
      </c>
      <c r="X170" s="951">
        <f t="shared" si="330"/>
        <v>1112781</v>
      </c>
    </row>
    <row r="171" spans="1:24" s="549" customFormat="1" ht="16.5" hidden="1" customHeight="1">
      <c r="A171" s="954"/>
      <c r="B171" s="955"/>
      <c r="C171" s="956"/>
      <c r="D171" s="957"/>
      <c r="E171" s="983"/>
      <c r="F171" s="954"/>
      <c r="G171" s="955"/>
      <c r="H171" s="548">
        <v>1471650</v>
      </c>
      <c r="I171" s="548">
        <v>358869</v>
      </c>
      <c r="J171" s="959"/>
      <c r="K171" s="950"/>
      <c r="L171" s="950"/>
      <c r="M171" s="951"/>
      <c r="N171" s="951"/>
      <c r="O171" s="950"/>
      <c r="P171" s="950"/>
      <c r="Q171" s="951"/>
      <c r="R171" s="951"/>
      <c r="S171" s="950"/>
      <c r="T171" s="951"/>
      <c r="U171" s="951"/>
      <c r="V171" s="950"/>
      <c r="W171" s="951"/>
      <c r="X171" s="951"/>
    </row>
    <row r="172" spans="1:24" s="549" customFormat="1" ht="16.5" hidden="1" customHeight="1">
      <c r="A172" s="954">
        <v>30</v>
      </c>
      <c r="B172" s="955" t="s">
        <v>879</v>
      </c>
      <c r="C172" s="956" t="s">
        <v>989</v>
      </c>
      <c r="D172" s="991" t="s">
        <v>999</v>
      </c>
      <c r="E172" s="992" t="s">
        <v>962</v>
      </c>
      <c r="F172" s="986" t="s">
        <v>963</v>
      </c>
      <c r="G172" s="986" t="s">
        <v>993</v>
      </c>
      <c r="H172" s="548">
        <f>H173+H174+H175+H176</f>
        <v>48598041</v>
      </c>
      <c r="I172" s="548">
        <f>I173+I174+I175+I176</f>
        <v>34649793</v>
      </c>
      <c r="J172" s="958" t="s">
        <v>13</v>
      </c>
      <c r="K172" s="950">
        <f t="shared" ref="K172" si="331">L172+O172</f>
        <v>13948248</v>
      </c>
      <c r="L172" s="950">
        <f t="shared" ref="L172" si="332">M172+N172</f>
        <v>13948248</v>
      </c>
      <c r="M172" s="951">
        <v>0</v>
      </c>
      <c r="N172" s="951">
        <v>13948248</v>
      </c>
      <c r="O172" s="950">
        <f t="shared" ref="O172" si="333">P172+S172+V172</f>
        <v>0</v>
      </c>
      <c r="P172" s="950">
        <f t="shared" ref="P172" si="334">Q172+R172</f>
        <v>0</v>
      </c>
      <c r="Q172" s="951">
        <v>0</v>
      </c>
      <c r="R172" s="951">
        <v>0</v>
      </c>
      <c r="S172" s="950">
        <f t="shared" ref="S172" si="335">T172+U172</f>
        <v>0</v>
      </c>
      <c r="T172" s="951">
        <v>0</v>
      </c>
      <c r="U172" s="951">
        <v>0</v>
      </c>
      <c r="V172" s="950">
        <f t="shared" ref="V172" si="336">W172+X172</f>
        <v>0</v>
      </c>
      <c r="W172" s="951">
        <v>0</v>
      </c>
      <c r="X172" s="951">
        <v>0</v>
      </c>
    </row>
    <row r="173" spans="1:24" s="549" customFormat="1" ht="16.5" hidden="1" customHeight="1">
      <c r="A173" s="954"/>
      <c r="B173" s="955"/>
      <c r="C173" s="956"/>
      <c r="D173" s="991"/>
      <c r="E173" s="993"/>
      <c r="F173" s="986"/>
      <c r="G173" s="986"/>
      <c r="H173" s="548">
        <v>40929158</v>
      </c>
      <c r="I173" s="548">
        <v>26980910</v>
      </c>
      <c r="J173" s="959"/>
      <c r="K173" s="950"/>
      <c r="L173" s="950"/>
      <c r="M173" s="951"/>
      <c r="N173" s="951"/>
      <c r="O173" s="950"/>
      <c r="P173" s="950"/>
      <c r="Q173" s="951"/>
      <c r="R173" s="951"/>
      <c r="S173" s="950"/>
      <c r="T173" s="951"/>
      <c r="U173" s="951"/>
      <c r="V173" s="950"/>
      <c r="W173" s="951"/>
      <c r="X173" s="951"/>
    </row>
    <row r="174" spans="1:24" s="549" customFormat="1" ht="16.5" hidden="1" customHeight="1">
      <c r="A174" s="954"/>
      <c r="B174" s="955"/>
      <c r="C174" s="956"/>
      <c r="D174" s="991"/>
      <c r="E174" s="993"/>
      <c r="F174" s="986"/>
      <c r="G174" s="986"/>
      <c r="H174" s="548">
        <v>0</v>
      </c>
      <c r="I174" s="548">
        <v>0</v>
      </c>
      <c r="J174" s="548" t="s">
        <v>14</v>
      </c>
      <c r="K174" s="550">
        <f t="shared" ref="K174" si="337">L174+O174</f>
        <v>0</v>
      </c>
      <c r="L174" s="550">
        <f t="shared" ref="L174" si="338">M174+N174</f>
        <v>0</v>
      </c>
      <c r="M174" s="551">
        <v>0</v>
      </c>
      <c r="N174" s="551">
        <v>0</v>
      </c>
      <c r="O174" s="550">
        <f t="shared" ref="O174" si="339">P174+S174+V174</f>
        <v>0</v>
      </c>
      <c r="P174" s="550">
        <f t="shared" ref="P174" si="340">Q174+R174</f>
        <v>0</v>
      </c>
      <c r="Q174" s="551">
        <v>0</v>
      </c>
      <c r="R174" s="551">
        <v>0</v>
      </c>
      <c r="S174" s="550">
        <f t="shared" ref="S174" si="341">T174+U174</f>
        <v>0</v>
      </c>
      <c r="T174" s="551">
        <v>0</v>
      </c>
      <c r="U174" s="551">
        <v>0</v>
      </c>
      <c r="V174" s="550">
        <f t="shared" ref="V174" si="342">W174+X174</f>
        <v>0</v>
      </c>
      <c r="W174" s="551">
        <v>0</v>
      </c>
      <c r="X174" s="551">
        <v>0</v>
      </c>
    </row>
    <row r="175" spans="1:24" s="549" customFormat="1" ht="16.5" hidden="1" customHeight="1">
      <c r="A175" s="954"/>
      <c r="B175" s="955"/>
      <c r="C175" s="956"/>
      <c r="D175" s="991"/>
      <c r="E175" s="993"/>
      <c r="F175" s="986"/>
      <c r="G175" s="986"/>
      <c r="H175" s="548">
        <v>6438163</v>
      </c>
      <c r="I175" s="548">
        <v>6438163</v>
      </c>
      <c r="J175" s="958" t="s">
        <v>15</v>
      </c>
      <c r="K175" s="950">
        <f t="shared" ref="K175:X175" si="343">K172+K174</f>
        <v>13948248</v>
      </c>
      <c r="L175" s="950">
        <f t="shared" si="343"/>
        <v>13948248</v>
      </c>
      <c r="M175" s="951">
        <f t="shared" si="343"/>
        <v>0</v>
      </c>
      <c r="N175" s="951">
        <f t="shared" si="343"/>
        <v>13948248</v>
      </c>
      <c r="O175" s="950">
        <f t="shared" si="343"/>
        <v>0</v>
      </c>
      <c r="P175" s="950">
        <f t="shared" si="343"/>
        <v>0</v>
      </c>
      <c r="Q175" s="951">
        <f t="shared" si="343"/>
        <v>0</v>
      </c>
      <c r="R175" s="951">
        <f t="shared" si="343"/>
        <v>0</v>
      </c>
      <c r="S175" s="950">
        <f t="shared" si="343"/>
        <v>0</v>
      </c>
      <c r="T175" s="951">
        <f t="shared" si="343"/>
        <v>0</v>
      </c>
      <c r="U175" s="951">
        <f t="shared" si="343"/>
        <v>0</v>
      </c>
      <c r="V175" s="950">
        <f t="shared" si="343"/>
        <v>0</v>
      </c>
      <c r="W175" s="951">
        <f t="shared" si="343"/>
        <v>0</v>
      </c>
      <c r="X175" s="951">
        <f t="shared" si="343"/>
        <v>0</v>
      </c>
    </row>
    <row r="176" spans="1:24" s="549" customFormat="1" ht="16.5" hidden="1" customHeight="1">
      <c r="A176" s="954"/>
      <c r="B176" s="955"/>
      <c r="C176" s="956"/>
      <c r="D176" s="991"/>
      <c r="E176" s="994"/>
      <c r="F176" s="986"/>
      <c r="G176" s="986"/>
      <c r="H176" s="548">
        <v>1230720</v>
      </c>
      <c r="I176" s="548">
        <v>1230720</v>
      </c>
      <c r="J176" s="959"/>
      <c r="K176" s="950"/>
      <c r="L176" s="950"/>
      <c r="M176" s="951"/>
      <c r="N176" s="951"/>
      <c r="O176" s="950"/>
      <c r="P176" s="950"/>
      <c r="Q176" s="951"/>
      <c r="R176" s="951"/>
      <c r="S176" s="950"/>
      <c r="T176" s="951"/>
      <c r="U176" s="951"/>
      <c r="V176" s="950"/>
      <c r="W176" s="951"/>
      <c r="X176" s="951"/>
    </row>
    <row r="177" spans="1:24" s="549" customFormat="1" ht="16.5" hidden="1" customHeight="1">
      <c r="A177" s="954">
        <v>31</v>
      </c>
      <c r="B177" s="956" t="s">
        <v>1000</v>
      </c>
      <c r="C177" s="956" t="s">
        <v>1001</v>
      </c>
      <c r="D177" s="957" t="s">
        <v>1002</v>
      </c>
      <c r="E177" s="954" t="s">
        <v>940</v>
      </c>
      <c r="F177" s="954" t="s">
        <v>1003</v>
      </c>
      <c r="G177" s="955" t="s">
        <v>944</v>
      </c>
      <c r="H177" s="548">
        <f>H178+H179+H180+H181</f>
        <v>9999825</v>
      </c>
      <c r="I177" s="548">
        <f>I178+I179+I180+I181</f>
        <v>0</v>
      </c>
      <c r="J177" s="958" t="s">
        <v>13</v>
      </c>
      <c r="K177" s="950">
        <f t="shared" ref="K177" si="344">L177+O177</f>
        <v>999983</v>
      </c>
      <c r="L177" s="950">
        <f t="shared" ref="L177" si="345">M177+N177</f>
        <v>849985</v>
      </c>
      <c r="M177" s="951">
        <v>17033</v>
      </c>
      <c r="N177" s="951">
        <v>832952</v>
      </c>
      <c r="O177" s="950">
        <f t="shared" ref="O177" si="346">P177+S177+V177</f>
        <v>149998</v>
      </c>
      <c r="P177" s="950">
        <f t="shared" ref="P177" si="347">Q177+R177</f>
        <v>0</v>
      </c>
      <c r="Q177" s="951">
        <v>0</v>
      </c>
      <c r="R177" s="951">
        <v>0</v>
      </c>
      <c r="S177" s="950">
        <f t="shared" ref="S177" si="348">T177+U177</f>
        <v>149998</v>
      </c>
      <c r="T177" s="951">
        <v>3007</v>
      </c>
      <c r="U177" s="951">
        <v>146991</v>
      </c>
      <c r="V177" s="950">
        <f t="shared" ref="V177" si="349">W177+X177</f>
        <v>0</v>
      </c>
      <c r="W177" s="951">
        <v>0</v>
      </c>
      <c r="X177" s="951">
        <v>0</v>
      </c>
    </row>
    <row r="178" spans="1:24" s="549" customFormat="1" ht="16.5" hidden="1" customHeight="1">
      <c r="A178" s="954"/>
      <c r="B178" s="956"/>
      <c r="C178" s="956"/>
      <c r="D178" s="957"/>
      <c r="E178" s="954"/>
      <c r="F178" s="954"/>
      <c r="G178" s="955"/>
      <c r="H178" s="548">
        <v>8499850</v>
      </c>
      <c r="I178" s="548">
        <v>0</v>
      </c>
      <c r="J178" s="959"/>
      <c r="K178" s="950"/>
      <c r="L178" s="950"/>
      <c r="M178" s="951"/>
      <c r="N178" s="951"/>
      <c r="O178" s="950"/>
      <c r="P178" s="950"/>
      <c r="Q178" s="951"/>
      <c r="R178" s="951"/>
      <c r="S178" s="950"/>
      <c r="T178" s="951"/>
      <c r="U178" s="951"/>
      <c r="V178" s="950"/>
      <c r="W178" s="951"/>
      <c r="X178" s="951"/>
    </row>
    <row r="179" spans="1:24" s="549" customFormat="1" ht="16.5" hidden="1" customHeight="1">
      <c r="A179" s="954"/>
      <c r="B179" s="956"/>
      <c r="C179" s="956"/>
      <c r="D179" s="957"/>
      <c r="E179" s="954"/>
      <c r="F179" s="954"/>
      <c r="G179" s="955"/>
      <c r="H179" s="548">
        <v>0</v>
      </c>
      <c r="I179" s="548">
        <v>0</v>
      </c>
      <c r="J179" s="548" t="s">
        <v>14</v>
      </c>
      <c r="K179" s="550">
        <f t="shared" ref="K179" si="350">L179+O179</f>
        <v>0</v>
      </c>
      <c r="L179" s="550">
        <f t="shared" ref="L179" si="351">M179+N179</f>
        <v>0</v>
      </c>
      <c r="M179" s="551">
        <v>0</v>
      </c>
      <c r="N179" s="551">
        <v>0</v>
      </c>
      <c r="O179" s="550">
        <f t="shared" ref="O179" si="352">P179+S179+V179</f>
        <v>0</v>
      </c>
      <c r="P179" s="550">
        <f t="shared" ref="P179" si="353">Q179+R179</f>
        <v>0</v>
      </c>
      <c r="Q179" s="551">
        <v>0</v>
      </c>
      <c r="R179" s="551">
        <v>0</v>
      </c>
      <c r="S179" s="550">
        <f t="shared" ref="S179" si="354">T179+U179</f>
        <v>0</v>
      </c>
      <c r="T179" s="551">
        <v>0</v>
      </c>
      <c r="U179" s="551">
        <v>0</v>
      </c>
      <c r="V179" s="550">
        <f t="shared" ref="V179" si="355">W179+X179</f>
        <v>0</v>
      </c>
      <c r="W179" s="551">
        <v>0</v>
      </c>
      <c r="X179" s="551">
        <v>0</v>
      </c>
    </row>
    <row r="180" spans="1:24" s="549" customFormat="1" ht="16.5" hidden="1" customHeight="1">
      <c r="A180" s="954"/>
      <c r="B180" s="956"/>
      <c r="C180" s="956"/>
      <c r="D180" s="957"/>
      <c r="E180" s="954"/>
      <c r="F180" s="954"/>
      <c r="G180" s="955"/>
      <c r="H180" s="548">
        <v>1499975</v>
      </c>
      <c r="I180" s="548">
        <v>0</v>
      </c>
      <c r="J180" s="958" t="s">
        <v>15</v>
      </c>
      <c r="K180" s="950">
        <f t="shared" ref="K180:X180" si="356">K177+K179</f>
        <v>999983</v>
      </c>
      <c r="L180" s="950">
        <f t="shared" si="356"/>
        <v>849985</v>
      </c>
      <c r="M180" s="951">
        <f t="shared" si="356"/>
        <v>17033</v>
      </c>
      <c r="N180" s="951">
        <f t="shared" si="356"/>
        <v>832952</v>
      </c>
      <c r="O180" s="950">
        <f t="shared" si="356"/>
        <v>149998</v>
      </c>
      <c r="P180" s="950">
        <f t="shared" si="356"/>
        <v>0</v>
      </c>
      <c r="Q180" s="951">
        <f t="shared" si="356"/>
        <v>0</v>
      </c>
      <c r="R180" s="951">
        <f t="shared" si="356"/>
        <v>0</v>
      </c>
      <c r="S180" s="950">
        <f t="shared" si="356"/>
        <v>149998</v>
      </c>
      <c r="T180" s="951">
        <f t="shared" si="356"/>
        <v>3007</v>
      </c>
      <c r="U180" s="951">
        <f t="shared" si="356"/>
        <v>146991</v>
      </c>
      <c r="V180" s="950">
        <f t="shared" si="356"/>
        <v>0</v>
      </c>
      <c r="W180" s="951">
        <f t="shared" si="356"/>
        <v>0</v>
      </c>
      <c r="X180" s="951">
        <f t="shared" si="356"/>
        <v>0</v>
      </c>
    </row>
    <row r="181" spans="1:24" s="549" customFormat="1" ht="16.5" hidden="1" customHeight="1">
      <c r="A181" s="954"/>
      <c r="B181" s="956"/>
      <c r="C181" s="956"/>
      <c r="D181" s="957"/>
      <c r="E181" s="954"/>
      <c r="F181" s="954"/>
      <c r="G181" s="955"/>
      <c r="H181" s="548">
        <v>0</v>
      </c>
      <c r="I181" s="548">
        <v>0</v>
      </c>
      <c r="J181" s="959"/>
      <c r="K181" s="950"/>
      <c r="L181" s="950"/>
      <c r="M181" s="951"/>
      <c r="N181" s="951"/>
      <c r="O181" s="950"/>
      <c r="P181" s="950"/>
      <c r="Q181" s="951"/>
      <c r="R181" s="951"/>
      <c r="S181" s="950"/>
      <c r="T181" s="951"/>
      <c r="U181" s="951"/>
      <c r="V181" s="950"/>
      <c r="W181" s="951"/>
      <c r="X181" s="951"/>
    </row>
    <row r="182" spans="1:24" s="549" customFormat="1" ht="15.6" customHeight="1">
      <c r="A182" s="954">
        <v>21</v>
      </c>
      <c r="B182" s="975" t="s">
        <v>693</v>
      </c>
      <c r="C182" s="984" t="s">
        <v>1004</v>
      </c>
      <c r="D182" s="985" t="s">
        <v>1005</v>
      </c>
      <c r="E182" s="986" t="s">
        <v>940</v>
      </c>
      <c r="F182" s="986" t="s">
        <v>1006</v>
      </c>
      <c r="G182" s="987" t="s">
        <v>951</v>
      </c>
      <c r="H182" s="548">
        <f>H183+H184+H185+H186</f>
        <v>75585611</v>
      </c>
      <c r="I182" s="548">
        <f>I183+I184+I185+I186</f>
        <v>11606615</v>
      </c>
      <c r="J182" s="958" t="s">
        <v>13</v>
      </c>
      <c r="K182" s="950">
        <f t="shared" ref="K182" si="357">L182+O182</f>
        <v>64107540</v>
      </c>
      <c r="L182" s="950">
        <f t="shared" ref="L182" si="358">M182+N182</f>
        <v>57696784</v>
      </c>
      <c r="M182" s="951">
        <v>6959038</v>
      </c>
      <c r="N182" s="951">
        <v>50737746</v>
      </c>
      <c r="O182" s="950">
        <f t="shared" ref="O182" si="359">P182+S182+V182</f>
        <v>6410756</v>
      </c>
      <c r="P182" s="950">
        <f t="shared" ref="P182" si="360">Q182+R182</f>
        <v>6410756</v>
      </c>
      <c r="Q182" s="951">
        <v>773227</v>
      </c>
      <c r="R182" s="951">
        <v>5637529</v>
      </c>
      <c r="S182" s="950">
        <f t="shared" ref="S182" si="361">T182+U182</f>
        <v>0</v>
      </c>
      <c r="T182" s="951">
        <v>0</v>
      </c>
      <c r="U182" s="951">
        <v>0</v>
      </c>
      <c r="V182" s="950">
        <f t="shared" ref="V182" si="362">W182+X182</f>
        <v>0</v>
      </c>
      <c r="W182" s="951">
        <v>0</v>
      </c>
      <c r="X182" s="951">
        <v>0</v>
      </c>
    </row>
    <row r="183" spans="1:24" s="549" customFormat="1" ht="15.6" customHeight="1">
      <c r="A183" s="954"/>
      <c r="B183" s="976"/>
      <c r="C183" s="984"/>
      <c r="D183" s="985"/>
      <c r="E183" s="986"/>
      <c r="F183" s="986"/>
      <c r="G183" s="987"/>
      <c r="H183" s="548">
        <v>68027050</v>
      </c>
      <c r="I183" s="548">
        <v>10445954</v>
      </c>
      <c r="J183" s="959"/>
      <c r="K183" s="950"/>
      <c r="L183" s="950"/>
      <c r="M183" s="951"/>
      <c r="N183" s="951"/>
      <c r="O183" s="950"/>
      <c r="P183" s="950"/>
      <c r="Q183" s="951"/>
      <c r="R183" s="951"/>
      <c r="S183" s="950"/>
      <c r="T183" s="951"/>
      <c r="U183" s="951"/>
      <c r="V183" s="950"/>
      <c r="W183" s="951"/>
      <c r="X183" s="951"/>
    </row>
    <row r="184" spans="1:24" s="549" customFormat="1" ht="15.6" customHeight="1">
      <c r="A184" s="954"/>
      <c r="B184" s="976"/>
      <c r="C184" s="984"/>
      <c r="D184" s="985"/>
      <c r="E184" s="986"/>
      <c r="F184" s="986"/>
      <c r="G184" s="987"/>
      <c r="H184" s="548">
        <v>7558561</v>
      </c>
      <c r="I184" s="548">
        <v>1160661</v>
      </c>
      <c r="J184" s="548" t="s">
        <v>14</v>
      </c>
      <c r="K184" s="550">
        <f t="shared" ref="K184" si="363">L184+O184</f>
        <v>-128544</v>
      </c>
      <c r="L184" s="550">
        <f t="shared" ref="L184" si="364">M184+N184</f>
        <v>-115688</v>
      </c>
      <c r="M184" s="551">
        <v>1402552</v>
      </c>
      <c r="N184" s="551">
        <v>-1518240</v>
      </c>
      <c r="O184" s="550">
        <f t="shared" ref="O184" si="365">P184+S184+V184</f>
        <v>-12856</v>
      </c>
      <c r="P184" s="550">
        <f t="shared" ref="P184" si="366">Q184+R184</f>
        <v>-12856</v>
      </c>
      <c r="Q184" s="551">
        <v>155838</v>
      </c>
      <c r="R184" s="551">
        <v>-168694</v>
      </c>
      <c r="S184" s="550">
        <f t="shared" ref="S184" si="367">T184+U184</f>
        <v>0</v>
      </c>
      <c r="T184" s="551">
        <v>0</v>
      </c>
      <c r="U184" s="551">
        <v>0</v>
      </c>
      <c r="V184" s="550">
        <f t="shared" ref="V184" si="368">W184+X184</f>
        <v>0</v>
      </c>
      <c r="W184" s="551">
        <v>0</v>
      </c>
      <c r="X184" s="551">
        <v>0</v>
      </c>
    </row>
    <row r="185" spans="1:24" s="549" customFormat="1" ht="15.6" customHeight="1">
      <c r="A185" s="954"/>
      <c r="B185" s="976"/>
      <c r="C185" s="984"/>
      <c r="D185" s="985"/>
      <c r="E185" s="986"/>
      <c r="F185" s="986"/>
      <c r="G185" s="987"/>
      <c r="H185" s="548">
        <v>0</v>
      </c>
      <c r="I185" s="548">
        <v>0</v>
      </c>
      <c r="J185" s="958" t="s">
        <v>15</v>
      </c>
      <c r="K185" s="950">
        <f t="shared" ref="K185:X185" si="369">K182+K184</f>
        <v>63978996</v>
      </c>
      <c r="L185" s="950">
        <f t="shared" si="369"/>
        <v>57581096</v>
      </c>
      <c r="M185" s="951">
        <f t="shared" si="369"/>
        <v>8361590</v>
      </c>
      <c r="N185" s="951">
        <f t="shared" si="369"/>
        <v>49219506</v>
      </c>
      <c r="O185" s="950">
        <f t="shared" si="369"/>
        <v>6397900</v>
      </c>
      <c r="P185" s="950">
        <f t="shared" si="369"/>
        <v>6397900</v>
      </c>
      <c r="Q185" s="951">
        <f t="shared" si="369"/>
        <v>929065</v>
      </c>
      <c r="R185" s="951">
        <f t="shared" si="369"/>
        <v>5468835</v>
      </c>
      <c r="S185" s="950">
        <f t="shared" si="369"/>
        <v>0</v>
      </c>
      <c r="T185" s="951">
        <f t="shared" si="369"/>
        <v>0</v>
      </c>
      <c r="U185" s="951">
        <f t="shared" si="369"/>
        <v>0</v>
      </c>
      <c r="V185" s="950">
        <f t="shared" si="369"/>
        <v>0</v>
      </c>
      <c r="W185" s="951">
        <f t="shared" si="369"/>
        <v>0</v>
      </c>
      <c r="X185" s="951">
        <f t="shared" si="369"/>
        <v>0</v>
      </c>
    </row>
    <row r="186" spans="1:24" s="549" customFormat="1" ht="15.6" customHeight="1">
      <c r="A186" s="954"/>
      <c r="B186" s="977"/>
      <c r="C186" s="984"/>
      <c r="D186" s="985"/>
      <c r="E186" s="986"/>
      <c r="F186" s="986"/>
      <c r="G186" s="987"/>
      <c r="H186" s="548">
        <v>0</v>
      </c>
      <c r="I186" s="548">
        <v>0</v>
      </c>
      <c r="J186" s="959"/>
      <c r="K186" s="950"/>
      <c r="L186" s="950"/>
      <c r="M186" s="951"/>
      <c r="N186" s="951"/>
      <c r="O186" s="950"/>
      <c r="P186" s="950"/>
      <c r="Q186" s="951"/>
      <c r="R186" s="951"/>
      <c r="S186" s="950"/>
      <c r="T186" s="951"/>
      <c r="U186" s="951"/>
      <c r="V186" s="950"/>
      <c r="W186" s="951"/>
      <c r="X186" s="951"/>
    </row>
    <row r="187" spans="1:24" s="549" customFormat="1" ht="15.6" customHeight="1">
      <c r="A187" s="954">
        <v>22</v>
      </c>
      <c r="B187" s="975" t="s">
        <v>693</v>
      </c>
      <c r="C187" s="956" t="s">
        <v>1004</v>
      </c>
      <c r="D187" s="957" t="s">
        <v>1007</v>
      </c>
      <c r="E187" s="954" t="s">
        <v>1008</v>
      </c>
      <c r="F187" s="954" t="s">
        <v>1006</v>
      </c>
      <c r="G187" s="955">
        <v>2021</v>
      </c>
      <c r="H187" s="548">
        <f>H188+H189+H190+H191</f>
        <v>34006335</v>
      </c>
      <c r="I187" s="548">
        <f>I188+I189+I190+I191</f>
        <v>0</v>
      </c>
      <c r="J187" s="958" t="s">
        <v>13</v>
      </c>
      <c r="K187" s="950">
        <f t="shared" ref="K187" si="370">L187+O187</f>
        <v>0</v>
      </c>
      <c r="L187" s="950">
        <f t="shared" ref="L187" si="371">M187+N187</f>
        <v>0</v>
      </c>
      <c r="M187" s="951">
        <v>0</v>
      </c>
      <c r="N187" s="951">
        <v>0</v>
      </c>
      <c r="O187" s="950">
        <f t="shared" ref="O187" si="372">P187+S187+V187</f>
        <v>0</v>
      </c>
      <c r="P187" s="950">
        <f t="shared" ref="P187" si="373">Q187+R187</f>
        <v>0</v>
      </c>
      <c r="Q187" s="951">
        <v>0</v>
      </c>
      <c r="R187" s="951">
        <v>0</v>
      </c>
      <c r="S187" s="950">
        <f t="shared" ref="S187" si="374">T187+U187</f>
        <v>0</v>
      </c>
      <c r="T187" s="951">
        <v>0</v>
      </c>
      <c r="U187" s="951">
        <v>0</v>
      </c>
      <c r="V187" s="950">
        <f t="shared" ref="V187" si="375">W187+X187</f>
        <v>0</v>
      </c>
      <c r="W187" s="951">
        <v>0</v>
      </c>
      <c r="X187" s="951">
        <v>0</v>
      </c>
    </row>
    <row r="188" spans="1:24" s="549" customFormat="1" ht="15.6" customHeight="1">
      <c r="A188" s="954"/>
      <c r="B188" s="976"/>
      <c r="C188" s="956"/>
      <c r="D188" s="957"/>
      <c r="E188" s="954"/>
      <c r="F188" s="954"/>
      <c r="G188" s="955"/>
      <c r="H188" s="548">
        <v>30605701</v>
      </c>
      <c r="I188" s="548">
        <v>0</v>
      </c>
      <c r="J188" s="959"/>
      <c r="K188" s="950"/>
      <c r="L188" s="950"/>
      <c r="M188" s="951"/>
      <c r="N188" s="951"/>
      <c r="O188" s="950"/>
      <c r="P188" s="950"/>
      <c r="Q188" s="951"/>
      <c r="R188" s="951"/>
      <c r="S188" s="950"/>
      <c r="T188" s="951"/>
      <c r="U188" s="951"/>
      <c r="V188" s="950"/>
      <c r="W188" s="951"/>
      <c r="X188" s="951"/>
    </row>
    <row r="189" spans="1:24" s="549" customFormat="1" ht="15.6" customHeight="1">
      <c r="A189" s="954"/>
      <c r="B189" s="976"/>
      <c r="C189" s="956"/>
      <c r="D189" s="957"/>
      <c r="E189" s="954"/>
      <c r="F189" s="954"/>
      <c r="G189" s="955"/>
      <c r="H189" s="548">
        <v>3400634</v>
      </c>
      <c r="I189" s="548">
        <v>0</v>
      </c>
      <c r="J189" s="548" t="s">
        <v>14</v>
      </c>
      <c r="K189" s="550">
        <f t="shared" ref="K189" si="376">L189+O189</f>
        <v>34006335</v>
      </c>
      <c r="L189" s="550">
        <f t="shared" ref="L189" si="377">M189+N189</f>
        <v>30605701</v>
      </c>
      <c r="M189" s="551">
        <v>3221502</v>
      </c>
      <c r="N189" s="551">
        <v>27384199</v>
      </c>
      <c r="O189" s="550">
        <f t="shared" ref="O189" si="378">P189+S189+V189</f>
        <v>3400634</v>
      </c>
      <c r="P189" s="550">
        <f t="shared" ref="P189" si="379">Q189+R189</f>
        <v>3400634</v>
      </c>
      <c r="Q189" s="551">
        <v>357944</v>
      </c>
      <c r="R189" s="551">
        <v>3042690</v>
      </c>
      <c r="S189" s="550">
        <f t="shared" ref="S189" si="380">T189+U189</f>
        <v>0</v>
      </c>
      <c r="T189" s="551">
        <v>0</v>
      </c>
      <c r="U189" s="551">
        <v>0</v>
      </c>
      <c r="V189" s="550">
        <f t="shared" ref="V189" si="381">W189+X189</f>
        <v>0</v>
      </c>
      <c r="W189" s="551">
        <v>0</v>
      </c>
      <c r="X189" s="551">
        <v>0</v>
      </c>
    </row>
    <row r="190" spans="1:24" s="549" customFormat="1" ht="15.6" customHeight="1">
      <c r="A190" s="954"/>
      <c r="B190" s="976"/>
      <c r="C190" s="956"/>
      <c r="D190" s="957"/>
      <c r="E190" s="954"/>
      <c r="F190" s="954"/>
      <c r="G190" s="955"/>
      <c r="H190" s="548">
        <v>0</v>
      </c>
      <c r="I190" s="548">
        <v>0</v>
      </c>
      <c r="J190" s="958" t="s">
        <v>15</v>
      </c>
      <c r="K190" s="950">
        <f t="shared" ref="K190:X190" si="382">K187+K189</f>
        <v>34006335</v>
      </c>
      <c r="L190" s="950">
        <f t="shared" si="382"/>
        <v>30605701</v>
      </c>
      <c r="M190" s="951">
        <f t="shared" si="382"/>
        <v>3221502</v>
      </c>
      <c r="N190" s="951">
        <f t="shared" si="382"/>
        <v>27384199</v>
      </c>
      <c r="O190" s="950">
        <f t="shared" si="382"/>
        <v>3400634</v>
      </c>
      <c r="P190" s="950">
        <f t="shared" si="382"/>
        <v>3400634</v>
      </c>
      <c r="Q190" s="951">
        <f t="shared" si="382"/>
        <v>357944</v>
      </c>
      <c r="R190" s="951">
        <f t="shared" si="382"/>
        <v>3042690</v>
      </c>
      <c r="S190" s="950">
        <f t="shared" si="382"/>
        <v>0</v>
      </c>
      <c r="T190" s="951">
        <f t="shared" si="382"/>
        <v>0</v>
      </c>
      <c r="U190" s="951">
        <f t="shared" si="382"/>
        <v>0</v>
      </c>
      <c r="V190" s="950">
        <f t="shared" si="382"/>
        <v>0</v>
      </c>
      <c r="W190" s="951">
        <f t="shared" si="382"/>
        <v>0</v>
      </c>
      <c r="X190" s="951">
        <f t="shared" si="382"/>
        <v>0</v>
      </c>
    </row>
    <row r="191" spans="1:24" s="549" customFormat="1" ht="15.6" customHeight="1">
      <c r="A191" s="954"/>
      <c r="B191" s="977"/>
      <c r="C191" s="956"/>
      <c r="D191" s="957"/>
      <c r="E191" s="954"/>
      <c r="F191" s="954"/>
      <c r="G191" s="955"/>
      <c r="H191" s="548">
        <v>0</v>
      </c>
      <c r="I191" s="548">
        <v>0</v>
      </c>
      <c r="J191" s="959"/>
      <c r="K191" s="950"/>
      <c r="L191" s="950"/>
      <c r="M191" s="951"/>
      <c r="N191" s="951"/>
      <c r="O191" s="950"/>
      <c r="P191" s="950"/>
      <c r="Q191" s="951"/>
      <c r="R191" s="951"/>
      <c r="S191" s="950"/>
      <c r="T191" s="951"/>
      <c r="U191" s="951"/>
      <c r="V191" s="950"/>
      <c r="W191" s="951"/>
      <c r="X191" s="951"/>
    </row>
    <row r="192" spans="1:24" s="549" customFormat="1" ht="15.75" customHeight="1">
      <c r="A192" s="954">
        <v>23</v>
      </c>
      <c r="B192" s="955" t="s">
        <v>715</v>
      </c>
      <c r="C192" s="956" t="s">
        <v>1009</v>
      </c>
      <c r="D192" s="957" t="s">
        <v>1010</v>
      </c>
      <c r="E192" s="954" t="s">
        <v>940</v>
      </c>
      <c r="F192" s="954" t="s">
        <v>1011</v>
      </c>
      <c r="G192" s="955" t="s">
        <v>964</v>
      </c>
      <c r="H192" s="548">
        <f>H193+H194+H195+H196</f>
        <v>7809884</v>
      </c>
      <c r="I192" s="548">
        <f>I193+I194+I195+I196</f>
        <v>6621699</v>
      </c>
      <c r="J192" s="958" t="s">
        <v>13</v>
      </c>
      <c r="K192" s="950">
        <f t="shared" ref="K192" si="383">L192+O192</f>
        <v>1148480</v>
      </c>
      <c r="L192" s="950">
        <f t="shared" ref="L192" si="384">M192+N192</f>
        <v>976209</v>
      </c>
      <c r="M192" s="951">
        <v>48805</v>
      </c>
      <c r="N192" s="951">
        <v>927404</v>
      </c>
      <c r="O192" s="950">
        <f t="shared" ref="O192" si="385">P192+S192+V192</f>
        <v>172271</v>
      </c>
      <c r="P192" s="950">
        <f t="shared" ref="P192" si="386">Q192+R192</f>
        <v>0</v>
      </c>
      <c r="Q192" s="951">
        <v>0</v>
      </c>
      <c r="R192" s="951">
        <v>0</v>
      </c>
      <c r="S192" s="950">
        <f t="shared" ref="S192" si="387">T192+U192</f>
        <v>172271</v>
      </c>
      <c r="T192" s="951">
        <v>8612</v>
      </c>
      <c r="U192" s="951">
        <v>163659</v>
      </c>
      <c r="V192" s="950">
        <f t="shared" ref="V192" si="388">W192+X192</f>
        <v>0</v>
      </c>
      <c r="W192" s="951">
        <v>0</v>
      </c>
      <c r="X192" s="951">
        <v>0</v>
      </c>
    </row>
    <row r="193" spans="1:24" s="549" customFormat="1" ht="15.75" customHeight="1">
      <c r="A193" s="954"/>
      <c r="B193" s="955"/>
      <c r="C193" s="956"/>
      <c r="D193" s="957"/>
      <c r="E193" s="954"/>
      <c r="F193" s="954"/>
      <c r="G193" s="955"/>
      <c r="H193" s="548">
        <v>4395978</v>
      </c>
      <c r="I193" s="548">
        <v>3385710</v>
      </c>
      <c r="J193" s="959"/>
      <c r="K193" s="950"/>
      <c r="L193" s="950"/>
      <c r="M193" s="951"/>
      <c r="N193" s="951"/>
      <c r="O193" s="950"/>
      <c r="P193" s="950"/>
      <c r="Q193" s="951"/>
      <c r="R193" s="951"/>
      <c r="S193" s="950"/>
      <c r="T193" s="951"/>
      <c r="U193" s="951"/>
      <c r="V193" s="950"/>
      <c r="W193" s="951"/>
      <c r="X193" s="951"/>
    </row>
    <row r="194" spans="1:24" s="549" customFormat="1" ht="15.75" customHeight="1">
      <c r="A194" s="954"/>
      <c r="B194" s="955"/>
      <c r="C194" s="956"/>
      <c r="D194" s="957"/>
      <c r="E194" s="954"/>
      <c r="F194" s="954"/>
      <c r="G194" s="955"/>
      <c r="H194" s="548">
        <v>0</v>
      </c>
      <c r="I194" s="548">
        <v>0</v>
      </c>
      <c r="J194" s="548" t="s">
        <v>14</v>
      </c>
      <c r="K194" s="550">
        <f t="shared" ref="K194" si="389">L194+O194</f>
        <v>39705</v>
      </c>
      <c r="L194" s="550">
        <f t="shared" ref="L194" si="390">M194+N194</f>
        <v>34059</v>
      </c>
      <c r="M194" s="551">
        <v>14071</v>
      </c>
      <c r="N194" s="551">
        <v>19988</v>
      </c>
      <c r="O194" s="550">
        <f t="shared" ref="O194" si="391">P194+S194+V194</f>
        <v>5646</v>
      </c>
      <c r="P194" s="550">
        <f t="shared" ref="P194" si="392">Q194+R194</f>
        <v>0</v>
      </c>
      <c r="Q194" s="551">
        <v>0</v>
      </c>
      <c r="R194" s="551">
        <v>0</v>
      </c>
      <c r="S194" s="550">
        <f t="shared" ref="S194" si="393">T194+U194</f>
        <v>5646</v>
      </c>
      <c r="T194" s="551">
        <v>2482</v>
      </c>
      <c r="U194" s="551">
        <v>3164</v>
      </c>
      <c r="V194" s="550">
        <f t="shared" ref="V194" si="394">W194+X194</f>
        <v>0</v>
      </c>
      <c r="W194" s="551">
        <v>0</v>
      </c>
      <c r="X194" s="551">
        <v>0</v>
      </c>
    </row>
    <row r="195" spans="1:24" s="549" customFormat="1" ht="15.75" customHeight="1">
      <c r="A195" s="954"/>
      <c r="B195" s="955"/>
      <c r="C195" s="956"/>
      <c r="D195" s="957"/>
      <c r="E195" s="954"/>
      <c r="F195" s="954"/>
      <c r="G195" s="955"/>
      <c r="H195" s="548">
        <v>3413906</v>
      </c>
      <c r="I195" s="548">
        <v>3235989</v>
      </c>
      <c r="J195" s="958" t="s">
        <v>15</v>
      </c>
      <c r="K195" s="950">
        <f t="shared" ref="K195:X195" si="395">K192+K194</f>
        <v>1188185</v>
      </c>
      <c r="L195" s="950">
        <f t="shared" si="395"/>
        <v>1010268</v>
      </c>
      <c r="M195" s="951">
        <f t="shared" si="395"/>
        <v>62876</v>
      </c>
      <c r="N195" s="951">
        <f t="shared" si="395"/>
        <v>947392</v>
      </c>
      <c r="O195" s="950">
        <f t="shared" si="395"/>
        <v>177917</v>
      </c>
      <c r="P195" s="950">
        <f t="shared" si="395"/>
        <v>0</v>
      </c>
      <c r="Q195" s="951">
        <f t="shared" si="395"/>
        <v>0</v>
      </c>
      <c r="R195" s="951">
        <f t="shared" si="395"/>
        <v>0</v>
      </c>
      <c r="S195" s="950">
        <f t="shared" si="395"/>
        <v>177917</v>
      </c>
      <c r="T195" s="951">
        <f t="shared" si="395"/>
        <v>11094</v>
      </c>
      <c r="U195" s="951">
        <f t="shared" si="395"/>
        <v>166823</v>
      </c>
      <c r="V195" s="950">
        <f t="shared" si="395"/>
        <v>0</v>
      </c>
      <c r="W195" s="951">
        <f t="shared" si="395"/>
        <v>0</v>
      </c>
      <c r="X195" s="951">
        <f t="shared" si="395"/>
        <v>0</v>
      </c>
    </row>
    <row r="196" spans="1:24" s="549" customFormat="1" ht="15.75" customHeight="1">
      <c r="A196" s="954"/>
      <c r="B196" s="955"/>
      <c r="C196" s="956"/>
      <c r="D196" s="957"/>
      <c r="E196" s="954"/>
      <c r="F196" s="954"/>
      <c r="G196" s="955"/>
      <c r="H196" s="548">
        <v>0</v>
      </c>
      <c r="I196" s="548">
        <v>0</v>
      </c>
      <c r="J196" s="959"/>
      <c r="K196" s="950"/>
      <c r="L196" s="950"/>
      <c r="M196" s="951"/>
      <c r="N196" s="951"/>
      <c r="O196" s="950"/>
      <c r="P196" s="950"/>
      <c r="Q196" s="951"/>
      <c r="R196" s="951"/>
      <c r="S196" s="950"/>
      <c r="T196" s="951"/>
      <c r="U196" s="951"/>
      <c r="V196" s="950"/>
      <c r="W196" s="951"/>
      <c r="X196" s="951"/>
    </row>
    <row r="197" spans="1:24" s="549" customFormat="1" ht="15.75" customHeight="1">
      <c r="A197" s="954">
        <v>24</v>
      </c>
      <c r="B197" s="955" t="s">
        <v>715</v>
      </c>
      <c r="C197" s="956" t="s">
        <v>1009</v>
      </c>
      <c r="D197" s="957" t="s">
        <v>1012</v>
      </c>
      <c r="E197" s="954" t="s">
        <v>940</v>
      </c>
      <c r="F197" s="954" t="s">
        <v>1011</v>
      </c>
      <c r="G197" s="955" t="s">
        <v>945</v>
      </c>
      <c r="H197" s="548">
        <f>H198+H199+H200+H201</f>
        <v>4885843</v>
      </c>
      <c r="I197" s="548">
        <f>I198+I199+I200+I201</f>
        <v>38487</v>
      </c>
      <c r="J197" s="958" t="s">
        <v>13</v>
      </c>
      <c r="K197" s="950">
        <f t="shared" ref="K197" si="396">L197+O197</f>
        <v>4677719</v>
      </c>
      <c r="L197" s="950">
        <f t="shared" ref="L197" si="397">M197+N197</f>
        <v>3976062</v>
      </c>
      <c r="M197" s="951">
        <v>74871</v>
      </c>
      <c r="N197" s="951">
        <v>3901191</v>
      </c>
      <c r="O197" s="950">
        <f t="shared" ref="O197" si="398">P197+S197+V197</f>
        <v>701657</v>
      </c>
      <c r="P197" s="950">
        <f t="shared" ref="P197" si="399">Q197+R197</f>
        <v>467772</v>
      </c>
      <c r="Q197" s="951">
        <v>8808</v>
      </c>
      <c r="R197" s="951">
        <v>458964</v>
      </c>
      <c r="S197" s="950">
        <f t="shared" ref="S197" si="400">T197+U197</f>
        <v>233885</v>
      </c>
      <c r="T197" s="951">
        <v>4404</v>
      </c>
      <c r="U197" s="951">
        <v>229481</v>
      </c>
      <c r="V197" s="950">
        <f t="shared" ref="V197" si="401">W197+X197</f>
        <v>0</v>
      </c>
      <c r="W197" s="951">
        <v>0</v>
      </c>
      <c r="X197" s="951">
        <v>0</v>
      </c>
    </row>
    <row r="198" spans="1:24" s="549" customFormat="1" ht="16.5" customHeight="1">
      <c r="A198" s="954"/>
      <c r="B198" s="955"/>
      <c r="C198" s="956"/>
      <c r="D198" s="957"/>
      <c r="E198" s="954"/>
      <c r="F198" s="954"/>
      <c r="G198" s="955"/>
      <c r="H198" s="548">
        <v>4152967</v>
      </c>
      <c r="I198" s="548">
        <v>32714</v>
      </c>
      <c r="J198" s="959"/>
      <c r="K198" s="950"/>
      <c r="L198" s="950"/>
      <c r="M198" s="951"/>
      <c r="N198" s="951"/>
      <c r="O198" s="950"/>
      <c r="P198" s="950"/>
      <c r="Q198" s="951"/>
      <c r="R198" s="951"/>
      <c r="S198" s="950"/>
      <c r="T198" s="951"/>
      <c r="U198" s="951"/>
      <c r="V198" s="950"/>
      <c r="W198" s="951"/>
      <c r="X198" s="951"/>
    </row>
    <row r="199" spans="1:24" s="549" customFormat="1" ht="16.5" customHeight="1">
      <c r="A199" s="954"/>
      <c r="B199" s="955"/>
      <c r="C199" s="956"/>
      <c r="D199" s="957"/>
      <c r="E199" s="954"/>
      <c r="F199" s="954"/>
      <c r="G199" s="955"/>
      <c r="H199" s="548">
        <v>488586</v>
      </c>
      <c r="I199" s="548">
        <v>3849</v>
      </c>
      <c r="J199" s="548" t="s">
        <v>14</v>
      </c>
      <c r="K199" s="550">
        <f t="shared" ref="K199" si="402">L199+O199</f>
        <v>-2664863</v>
      </c>
      <c r="L199" s="550">
        <f t="shared" ref="L199" si="403">M199+N199</f>
        <v>-2265134</v>
      </c>
      <c r="M199" s="551">
        <v>17174</v>
      </c>
      <c r="N199" s="551">
        <v>-2282308</v>
      </c>
      <c r="O199" s="550">
        <f t="shared" ref="O199" si="404">P199+S199+V199</f>
        <v>-399729</v>
      </c>
      <c r="P199" s="550">
        <f t="shared" ref="P199" si="405">Q199+R199</f>
        <v>-266486</v>
      </c>
      <c r="Q199" s="551">
        <v>2021</v>
      </c>
      <c r="R199" s="551">
        <v>-268507</v>
      </c>
      <c r="S199" s="550">
        <f t="shared" ref="S199" si="406">T199+U199</f>
        <v>-133243</v>
      </c>
      <c r="T199" s="551">
        <v>1010</v>
      </c>
      <c r="U199" s="551">
        <v>-134253</v>
      </c>
      <c r="V199" s="550">
        <f t="shared" ref="V199" si="407">W199+X199</f>
        <v>0</v>
      </c>
      <c r="W199" s="551">
        <v>0</v>
      </c>
      <c r="X199" s="551">
        <v>0</v>
      </c>
    </row>
    <row r="200" spans="1:24" s="549" customFormat="1" ht="16.5" customHeight="1">
      <c r="A200" s="954"/>
      <c r="B200" s="955"/>
      <c r="C200" s="956"/>
      <c r="D200" s="957"/>
      <c r="E200" s="954"/>
      <c r="F200" s="954"/>
      <c r="G200" s="955"/>
      <c r="H200" s="548">
        <v>244290</v>
      </c>
      <c r="I200" s="548">
        <v>1924</v>
      </c>
      <c r="J200" s="958" t="s">
        <v>15</v>
      </c>
      <c r="K200" s="950">
        <f t="shared" ref="K200:X200" si="408">K197+K199</f>
        <v>2012856</v>
      </c>
      <c r="L200" s="950">
        <f t="shared" si="408"/>
        <v>1710928</v>
      </c>
      <c r="M200" s="951">
        <f t="shared" si="408"/>
        <v>92045</v>
      </c>
      <c r="N200" s="951">
        <f t="shared" si="408"/>
        <v>1618883</v>
      </c>
      <c r="O200" s="950">
        <f t="shared" si="408"/>
        <v>301928</v>
      </c>
      <c r="P200" s="950">
        <f t="shared" si="408"/>
        <v>201286</v>
      </c>
      <c r="Q200" s="951">
        <f t="shared" si="408"/>
        <v>10829</v>
      </c>
      <c r="R200" s="951">
        <f t="shared" si="408"/>
        <v>190457</v>
      </c>
      <c r="S200" s="950">
        <f t="shared" si="408"/>
        <v>100642</v>
      </c>
      <c r="T200" s="951">
        <f t="shared" si="408"/>
        <v>5414</v>
      </c>
      <c r="U200" s="951">
        <f t="shared" si="408"/>
        <v>95228</v>
      </c>
      <c r="V200" s="950">
        <f t="shared" si="408"/>
        <v>0</v>
      </c>
      <c r="W200" s="951">
        <f t="shared" si="408"/>
        <v>0</v>
      </c>
      <c r="X200" s="951">
        <f t="shared" si="408"/>
        <v>0</v>
      </c>
    </row>
    <row r="201" spans="1:24" s="549" customFormat="1" ht="16.5" customHeight="1">
      <c r="A201" s="954"/>
      <c r="B201" s="955"/>
      <c r="C201" s="956"/>
      <c r="D201" s="957"/>
      <c r="E201" s="954"/>
      <c r="F201" s="954"/>
      <c r="G201" s="955"/>
      <c r="H201" s="548">
        <v>0</v>
      </c>
      <c r="I201" s="548">
        <v>0</v>
      </c>
      <c r="J201" s="959"/>
      <c r="K201" s="950"/>
      <c r="L201" s="950"/>
      <c r="M201" s="951"/>
      <c r="N201" s="951"/>
      <c r="O201" s="950"/>
      <c r="P201" s="950"/>
      <c r="Q201" s="951"/>
      <c r="R201" s="951"/>
      <c r="S201" s="950"/>
      <c r="T201" s="951"/>
      <c r="U201" s="951"/>
      <c r="V201" s="950"/>
      <c r="W201" s="951"/>
      <c r="X201" s="951"/>
    </row>
    <row r="202" spans="1:24" s="549" customFormat="1" ht="16.5" customHeight="1">
      <c r="A202" s="954">
        <v>25</v>
      </c>
      <c r="B202" s="955" t="s">
        <v>712</v>
      </c>
      <c r="C202" s="956" t="s">
        <v>65</v>
      </c>
      <c r="D202" s="957" t="s">
        <v>1013</v>
      </c>
      <c r="E202" s="954" t="s">
        <v>940</v>
      </c>
      <c r="F202" s="954" t="s">
        <v>1011</v>
      </c>
      <c r="G202" s="955" t="s">
        <v>964</v>
      </c>
      <c r="H202" s="548">
        <f>H203+H204+H205+H206</f>
        <v>26108822</v>
      </c>
      <c r="I202" s="548">
        <f>I203+I204+I205+I206</f>
        <v>16512269</v>
      </c>
      <c r="J202" s="958" t="s">
        <v>13</v>
      </c>
      <c r="K202" s="950">
        <f t="shared" ref="K202" si="409">L202+O202</f>
        <v>8961610</v>
      </c>
      <c r="L202" s="950">
        <f t="shared" ref="L202" si="410">M202+N202</f>
        <v>2097073</v>
      </c>
      <c r="M202" s="951">
        <v>252668</v>
      </c>
      <c r="N202" s="951">
        <v>1844405</v>
      </c>
      <c r="O202" s="950">
        <f t="shared" ref="O202" si="411">P202+S202+V202</f>
        <v>6864537</v>
      </c>
      <c r="P202" s="950">
        <f t="shared" ref="P202" si="412">Q202+R202</f>
        <v>0</v>
      </c>
      <c r="Q202" s="951">
        <v>0</v>
      </c>
      <c r="R202" s="951">
        <v>0</v>
      </c>
      <c r="S202" s="950">
        <f t="shared" ref="S202" si="413">T202+U202</f>
        <v>6864537</v>
      </c>
      <c r="T202" s="951">
        <v>44588</v>
      </c>
      <c r="U202" s="951">
        <v>6819949</v>
      </c>
      <c r="V202" s="950">
        <f t="shared" ref="V202" si="414">W202+X202</f>
        <v>0</v>
      </c>
      <c r="W202" s="951">
        <v>0</v>
      </c>
      <c r="X202" s="951">
        <v>0</v>
      </c>
    </row>
    <row r="203" spans="1:24" s="549" customFormat="1" ht="16.5" customHeight="1">
      <c r="A203" s="954"/>
      <c r="B203" s="955"/>
      <c r="C203" s="956"/>
      <c r="D203" s="957"/>
      <c r="E203" s="954"/>
      <c r="F203" s="954"/>
      <c r="G203" s="955"/>
      <c r="H203" s="548">
        <v>7574485</v>
      </c>
      <c r="I203" s="548">
        <v>4941260</v>
      </c>
      <c r="J203" s="959"/>
      <c r="K203" s="950"/>
      <c r="L203" s="950"/>
      <c r="M203" s="951"/>
      <c r="N203" s="951"/>
      <c r="O203" s="950"/>
      <c r="P203" s="950"/>
      <c r="Q203" s="951"/>
      <c r="R203" s="951"/>
      <c r="S203" s="950"/>
      <c r="T203" s="951"/>
      <c r="U203" s="951"/>
      <c r="V203" s="950"/>
      <c r="W203" s="951"/>
      <c r="X203" s="951"/>
    </row>
    <row r="204" spans="1:24" s="549" customFormat="1" ht="16.5" customHeight="1">
      <c r="A204" s="954"/>
      <c r="B204" s="955"/>
      <c r="C204" s="956"/>
      <c r="D204" s="957"/>
      <c r="E204" s="954"/>
      <c r="F204" s="954"/>
      <c r="G204" s="955"/>
      <c r="H204" s="548">
        <v>0</v>
      </c>
      <c r="I204" s="548">
        <v>0</v>
      </c>
      <c r="J204" s="548" t="s">
        <v>14</v>
      </c>
      <c r="K204" s="550">
        <f t="shared" ref="K204" si="415">L204+O204</f>
        <v>634943</v>
      </c>
      <c r="L204" s="550">
        <f t="shared" ref="L204" si="416">M204+N204</f>
        <v>536152</v>
      </c>
      <c r="M204" s="551">
        <v>23157</v>
      </c>
      <c r="N204" s="551">
        <v>512995</v>
      </c>
      <c r="O204" s="550">
        <f t="shared" ref="O204" si="417">P204+S204+V204</f>
        <v>98791</v>
      </c>
      <c r="P204" s="550">
        <f t="shared" ref="P204" si="418">Q204+R204</f>
        <v>0</v>
      </c>
      <c r="Q204" s="551">
        <v>0</v>
      </c>
      <c r="R204" s="551">
        <v>0</v>
      </c>
      <c r="S204" s="550">
        <f t="shared" ref="S204" si="419">T204+U204</f>
        <v>98791</v>
      </c>
      <c r="T204" s="551">
        <v>4087</v>
      </c>
      <c r="U204" s="551">
        <v>94704</v>
      </c>
      <c r="V204" s="550">
        <f t="shared" ref="V204" si="420">W204+X204</f>
        <v>0</v>
      </c>
      <c r="W204" s="551">
        <v>0</v>
      </c>
      <c r="X204" s="551">
        <v>0</v>
      </c>
    </row>
    <row r="205" spans="1:24" s="549" customFormat="1" ht="16.5" customHeight="1">
      <c r="A205" s="954"/>
      <c r="B205" s="955"/>
      <c r="C205" s="956"/>
      <c r="D205" s="957"/>
      <c r="E205" s="954"/>
      <c r="F205" s="954"/>
      <c r="G205" s="955"/>
      <c r="H205" s="548">
        <v>18534337</v>
      </c>
      <c r="I205" s="548">
        <v>11571009</v>
      </c>
      <c r="J205" s="958" t="s">
        <v>15</v>
      </c>
      <c r="K205" s="950">
        <f t="shared" ref="K205:X205" si="421">K202+K204</f>
        <v>9596553</v>
      </c>
      <c r="L205" s="950">
        <f t="shared" si="421"/>
        <v>2633225</v>
      </c>
      <c r="M205" s="951">
        <f t="shared" si="421"/>
        <v>275825</v>
      </c>
      <c r="N205" s="951">
        <f t="shared" si="421"/>
        <v>2357400</v>
      </c>
      <c r="O205" s="950">
        <f t="shared" si="421"/>
        <v>6963328</v>
      </c>
      <c r="P205" s="950">
        <f t="shared" si="421"/>
        <v>0</v>
      </c>
      <c r="Q205" s="951">
        <f t="shared" si="421"/>
        <v>0</v>
      </c>
      <c r="R205" s="951">
        <f t="shared" si="421"/>
        <v>0</v>
      </c>
      <c r="S205" s="950">
        <f t="shared" si="421"/>
        <v>6963328</v>
      </c>
      <c r="T205" s="951">
        <f t="shared" si="421"/>
        <v>48675</v>
      </c>
      <c r="U205" s="951">
        <f t="shared" si="421"/>
        <v>6914653</v>
      </c>
      <c r="V205" s="950">
        <f t="shared" si="421"/>
        <v>0</v>
      </c>
      <c r="W205" s="951">
        <f t="shared" si="421"/>
        <v>0</v>
      </c>
      <c r="X205" s="951">
        <f t="shared" si="421"/>
        <v>0</v>
      </c>
    </row>
    <row r="206" spans="1:24" s="549" customFormat="1" ht="16.5" customHeight="1">
      <c r="A206" s="954"/>
      <c r="B206" s="955"/>
      <c r="C206" s="956"/>
      <c r="D206" s="957"/>
      <c r="E206" s="954"/>
      <c r="F206" s="954"/>
      <c r="G206" s="955"/>
      <c r="H206" s="548">
        <v>0</v>
      </c>
      <c r="I206" s="548">
        <v>0</v>
      </c>
      <c r="J206" s="959"/>
      <c r="K206" s="950"/>
      <c r="L206" s="950"/>
      <c r="M206" s="951"/>
      <c r="N206" s="951"/>
      <c r="O206" s="950"/>
      <c r="P206" s="950"/>
      <c r="Q206" s="951"/>
      <c r="R206" s="951"/>
      <c r="S206" s="950"/>
      <c r="T206" s="951"/>
      <c r="U206" s="951"/>
      <c r="V206" s="950"/>
      <c r="W206" s="951"/>
      <c r="X206" s="951"/>
    </row>
    <row r="207" spans="1:24" s="549" customFormat="1" ht="16.5" customHeight="1">
      <c r="A207" s="954">
        <v>26</v>
      </c>
      <c r="B207" s="955" t="s">
        <v>712</v>
      </c>
      <c r="C207" s="956" t="s">
        <v>65</v>
      </c>
      <c r="D207" s="957" t="s">
        <v>1014</v>
      </c>
      <c r="E207" s="954" t="s">
        <v>940</v>
      </c>
      <c r="F207" s="954" t="s">
        <v>1011</v>
      </c>
      <c r="G207" s="955" t="s">
        <v>964</v>
      </c>
      <c r="H207" s="548">
        <f>H208+H209+H210+H211</f>
        <v>11218462</v>
      </c>
      <c r="I207" s="548">
        <f>I208+I209+I210+I211</f>
        <v>8466126</v>
      </c>
      <c r="J207" s="958" t="s">
        <v>13</v>
      </c>
      <c r="K207" s="950">
        <f t="shared" ref="K207" si="422">L207+O207</f>
        <v>2709565</v>
      </c>
      <c r="L207" s="950">
        <f t="shared" ref="L207" si="423">M207+N207</f>
        <v>1701878</v>
      </c>
      <c r="M207" s="951">
        <v>159559</v>
      </c>
      <c r="N207" s="951">
        <v>1542319</v>
      </c>
      <c r="O207" s="950">
        <f t="shared" ref="O207" si="424">P207+S207+V207</f>
        <v>1007687</v>
      </c>
      <c r="P207" s="950">
        <f t="shared" ref="P207" si="425">Q207+R207</f>
        <v>0</v>
      </c>
      <c r="Q207" s="951">
        <v>0</v>
      </c>
      <c r="R207" s="951">
        <v>0</v>
      </c>
      <c r="S207" s="950">
        <f t="shared" ref="S207" si="426">T207+U207</f>
        <v>1007687</v>
      </c>
      <c r="T207" s="951">
        <v>94475</v>
      </c>
      <c r="U207" s="951">
        <v>913212</v>
      </c>
      <c r="V207" s="950">
        <f t="shared" ref="V207" si="427">W207+X207</f>
        <v>0</v>
      </c>
      <c r="W207" s="951">
        <v>0</v>
      </c>
      <c r="X207" s="951">
        <v>0</v>
      </c>
    </row>
    <row r="208" spans="1:24" s="549" customFormat="1" ht="16.5" customHeight="1">
      <c r="A208" s="954"/>
      <c r="B208" s="955"/>
      <c r="C208" s="956"/>
      <c r="D208" s="957"/>
      <c r="E208" s="954"/>
      <c r="F208" s="954"/>
      <c r="G208" s="955"/>
      <c r="H208" s="548">
        <v>7046316</v>
      </c>
      <c r="I208" s="548">
        <v>5317573</v>
      </c>
      <c r="J208" s="959"/>
      <c r="K208" s="950"/>
      <c r="L208" s="950"/>
      <c r="M208" s="951"/>
      <c r="N208" s="951"/>
      <c r="O208" s="950"/>
      <c r="P208" s="950"/>
      <c r="Q208" s="951"/>
      <c r="R208" s="951"/>
      <c r="S208" s="950"/>
      <c r="T208" s="951"/>
      <c r="U208" s="951"/>
      <c r="V208" s="950"/>
      <c r="W208" s="951"/>
      <c r="X208" s="951"/>
    </row>
    <row r="209" spans="1:24" s="549" customFormat="1" ht="16.5" customHeight="1">
      <c r="A209" s="954"/>
      <c r="B209" s="955"/>
      <c r="C209" s="956"/>
      <c r="D209" s="957"/>
      <c r="E209" s="954"/>
      <c r="F209" s="954"/>
      <c r="G209" s="955"/>
      <c r="H209" s="548">
        <v>0</v>
      </c>
      <c r="I209" s="548">
        <v>0</v>
      </c>
      <c r="J209" s="548" t="s">
        <v>14</v>
      </c>
      <c r="K209" s="550">
        <f t="shared" ref="K209" si="428">L209+O209</f>
        <v>42771</v>
      </c>
      <c r="L209" s="550">
        <f t="shared" ref="L209" si="429">M209+N209</f>
        <v>26865</v>
      </c>
      <c r="M209" s="551">
        <v>26865</v>
      </c>
      <c r="N209" s="551">
        <v>0</v>
      </c>
      <c r="O209" s="550">
        <f t="shared" ref="O209" si="430">P209+S209+V209</f>
        <v>15906</v>
      </c>
      <c r="P209" s="550">
        <f t="shared" ref="P209" si="431">Q209+R209</f>
        <v>0</v>
      </c>
      <c r="Q209" s="551">
        <v>0</v>
      </c>
      <c r="R209" s="551">
        <v>0</v>
      </c>
      <c r="S209" s="550">
        <f t="shared" ref="S209" si="432">T209+U209</f>
        <v>15906</v>
      </c>
      <c r="T209" s="551">
        <v>15906</v>
      </c>
      <c r="U209" s="551">
        <v>0</v>
      </c>
      <c r="V209" s="550">
        <f t="shared" ref="V209" si="433">W209+X209</f>
        <v>0</v>
      </c>
      <c r="W209" s="551">
        <v>0</v>
      </c>
      <c r="X209" s="551">
        <v>0</v>
      </c>
    </row>
    <row r="210" spans="1:24" s="549" customFormat="1" ht="16.5" customHeight="1">
      <c r="A210" s="954"/>
      <c r="B210" s="955"/>
      <c r="C210" s="956"/>
      <c r="D210" s="957"/>
      <c r="E210" s="954"/>
      <c r="F210" s="954"/>
      <c r="G210" s="955"/>
      <c r="H210" s="548">
        <v>4172146</v>
      </c>
      <c r="I210" s="548">
        <v>3148553</v>
      </c>
      <c r="J210" s="958" t="s">
        <v>15</v>
      </c>
      <c r="K210" s="950">
        <f t="shared" ref="K210:X210" si="434">K207+K209</f>
        <v>2752336</v>
      </c>
      <c r="L210" s="950">
        <f t="shared" si="434"/>
        <v>1728743</v>
      </c>
      <c r="M210" s="951">
        <f t="shared" si="434"/>
        <v>186424</v>
      </c>
      <c r="N210" s="951">
        <f t="shared" si="434"/>
        <v>1542319</v>
      </c>
      <c r="O210" s="950">
        <f t="shared" si="434"/>
        <v>1023593</v>
      </c>
      <c r="P210" s="950">
        <f t="shared" si="434"/>
        <v>0</v>
      </c>
      <c r="Q210" s="951">
        <f t="shared" si="434"/>
        <v>0</v>
      </c>
      <c r="R210" s="951">
        <f t="shared" si="434"/>
        <v>0</v>
      </c>
      <c r="S210" s="950">
        <f t="shared" si="434"/>
        <v>1023593</v>
      </c>
      <c r="T210" s="951">
        <f t="shared" si="434"/>
        <v>110381</v>
      </c>
      <c r="U210" s="951">
        <f t="shared" si="434"/>
        <v>913212</v>
      </c>
      <c r="V210" s="950">
        <f t="shared" si="434"/>
        <v>0</v>
      </c>
      <c r="W210" s="951">
        <f t="shared" si="434"/>
        <v>0</v>
      </c>
      <c r="X210" s="951">
        <f t="shared" si="434"/>
        <v>0</v>
      </c>
    </row>
    <row r="211" spans="1:24" s="549" customFormat="1" ht="16.5" customHeight="1">
      <c r="A211" s="954"/>
      <c r="B211" s="955"/>
      <c r="C211" s="956"/>
      <c r="D211" s="957"/>
      <c r="E211" s="954"/>
      <c r="F211" s="954"/>
      <c r="G211" s="955"/>
      <c r="H211" s="548">
        <v>0</v>
      </c>
      <c r="I211" s="548">
        <v>0</v>
      </c>
      <c r="J211" s="959"/>
      <c r="K211" s="950"/>
      <c r="L211" s="950"/>
      <c r="M211" s="951"/>
      <c r="N211" s="951"/>
      <c r="O211" s="950"/>
      <c r="P211" s="950"/>
      <c r="Q211" s="951"/>
      <c r="R211" s="951"/>
      <c r="S211" s="950"/>
      <c r="T211" s="951"/>
      <c r="U211" s="951"/>
      <c r="V211" s="950"/>
      <c r="W211" s="951"/>
      <c r="X211" s="951"/>
    </row>
    <row r="212" spans="1:24" s="549" customFormat="1" ht="16.5" customHeight="1">
      <c r="A212" s="954">
        <v>27</v>
      </c>
      <c r="B212" s="955" t="s">
        <v>712</v>
      </c>
      <c r="C212" s="956" t="s">
        <v>65</v>
      </c>
      <c r="D212" s="957" t="s">
        <v>1015</v>
      </c>
      <c r="E212" s="954" t="s">
        <v>940</v>
      </c>
      <c r="F212" s="954" t="s">
        <v>1016</v>
      </c>
      <c r="G212" s="955" t="s">
        <v>945</v>
      </c>
      <c r="H212" s="548">
        <f>H213+H214+H215+H216</f>
        <v>11149070</v>
      </c>
      <c r="I212" s="548">
        <f>I213+I214+I215+I216</f>
        <v>363214</v>
      </c>
      <c r="J212" s="958" t="s">
        <v>13</v>
      </c>
      <c r="K212" s="950">
        <f t="shared" ref="K212" si="435">L212+O212</f>
        <v>10627167</v>
      </c>
      <c r="L212" s="950">
        <f t="shared" ref="L212" si="436">M212+N212</f>
        <v>7273064</v>
      </c>
      <c r="M212" s="951">
        <v>160506</v>
      </c>
      <c r="N212" s="951">
        <v>7112558</v>
      </c>
      <c r="O212" s="950">
        <f t="shared" ref="O212" si="437">P212+S212+V212</f>
        <v>3354103</v>
      </c>
      <c r="P212" s="950">
        <f t="shared" ref="P212" si="438">Q212+R212</f>
        <v>0</v>
      </c>
      <c r="Q212" s="951">
        <v>0</v>
      </c>
      <c r="R212" s="951">
        <v>0</v>
      </c>
      <c r="S212" s="950">
        <f t="shared" ref="S212" si="439">T212+U212</f>
        <v>3354103</v>
      </c>
      <c r="T212" s="951">
        <v>28323</v>
      </c>
      <c r="U212" s="951">
        <v>3325780</v>
      </c>
      <c r="V212" s="950">
        <f t="shared" ref="V212" si="440">W212+X212</f>
        <v>0</v>
      </c>
      <c r="W212" s="951">
        <v>0</v>
      </c>
      <c r="X212" s="951">
        <v>0</v>
      </c>
    </row>
    <row r="213" spans="1:24" s="549" customFormat="1" ht="16.5" customHeight="1">
      <c r="A213" s="954"/>
      <c r="B213" s="955"/>
      <c r="C213" s="956"/>
      <c r="D213" s="957"/>
      <c r="E213" s="954"/>
      <c r="F213" s="954"/>
      <c r="G213" s="955"/>
      <c r="H213" s="548">
        <v>7423868</v>
      </c>
      <c r="I213" s="548">
        <v>77055</v>
      </c>
      <c r="J213" s="959"/>
      <c r="K213" s="950"/>
      <c r="L213" s="950"/>
      <c r="M213" s="951"/>
      <c r="N213" s="951"/>
      <c r="O213" s="950"/>
      <c r="P213" s="950"/>
      <c r="Q213" s="951"/>
      <c r="R213" s="951"/>
      <c r="S213" s="950"/>
      <c r="T213" s="951"/>
      <c r="U213" s="951"/>
      <c r="V213" s="950"/>
      <c r="W213" s="951"/>
      <c r="X213" s="951"/>
    </row>
    <row r="214" spans="1:24" s="549" customFormat="1" ht="16.5" customHeight="1">
      <c r="A214" s="954"/>
      <c r="B214" s="955"/>
      <c r="C214" s="956"/>
      <c r="D214" s="957"/>
      <c r="E214" s="954"/>
      <c r="F214" s="954"/>
      <c r="G214" s="955"/>
      <c r="H214" s="548">
        <v>0</v>
      </c>
      <c r="I214" s="548">
        <v>0</v>
      </c>
      <c r="J214" s="548" t="s">
        <v>14</v>
      </c>
      <c r="K214" s="550">
        <f t="shared" ref="K214" si="441">L214+O214</f>
        <v>81451</v>
      </c>
      <c r="L214" s="550">
        <f t="shared" ref="L214" si="442">M214+N214</f>
        <v>8097</v>
      </c>
      <c r="M214" s="551">
        <v>8097</v>
      </c>
      <c r="N214" s="551">
        <v>0</v>
      </c>
      <c r="O214" s="550">
        <f t="shared" ref="O214" si="443">P214+S214+V214</f>
        <v>73354</v>
      </c>
      <c r="P214" s="550">
        <f t="shared" ref="P214" si="444">Q214+R214</f>
        <v>0</v>
      </c>
      <c r="Q214" s="551">
        <v>0</v>
      </c>
      <c r="R214" s="551">
        <v>0</v>
      </c>
      <c r="S214" s="550">
        <f t="shared" ref="S214" si="445">T214+U214</f>
        <v>73354</v>
      </c>
      <c r="T214" s="551">
        <v>1430</v>
      </c>
      <c r="U214" s="551">
        <v>71924</v>
      </c>
      <c r="V214" s="550">
        <f t="shared" ref="V214" si="446">W214+X214</f>
        <v>0</v>
      </c>
      <c r="W214" s="551">
        <v>0</v>
      </c>
      <c r="X214" s="551">
        <v>0</v>
      </c>
    </row>
    <row r="215" spans="1:24" s="549" customFormat="1" ht="16.5" customHeight="1">
      <c r="A215" s="954"/>
      <c r="B215" s="955"/>
      <c r="C215" s="956"/>
      <c r="D215" s="957"/>
      <c r="E215" s="954"/>
      <c r="F215" s="954"/>
      <c r="G215" s="955"/>
      <c r="H215" s="548">
        <v>3725202</v>
      </c>
      <c r="I215" s="548">
        <v>286159</v>
      </c>
      <c r="J215" s="958" t="s">
        <v>15</v>
      </c>
      <c r="K215" s="950">
        <f t="shared" ref="K215:X215" si="447">K212+K214</f>
        <v>10708618</v>
      </c>
      <c r="L215" s="950">
        <f t="shared" si="447"/>
        <v>7281161</v>
      </c>
      <c r="M215" s="951">
        <f t="shared" si="447"/>
        <v>168603</v>
      </c>
      <c r="N215" s="951">
        <f t="shared" si="447"/>
        <v>7112558</v>
      </c>
      <c r="O215" s="950">
        <f t="shared" si="447"/>
        <v>3427457</v>
      </c>
      <c r="P215" s="950">
        <f t="shared" si="447"/>
        <v>0</v>
      </c>
      <c r="Q215" s="951">
        <f t="shared" si="447"/>
        <v>0</v>
      </c>
      <c r="R215" s="951">
        <f t="shared" si="447"/>
        <v>0</v>
      </c>
      <c r="S215" s="950">
        <f t="shared" si="447"/>
        <v>3427457</v>
      </c>
      <c r="T215" s="951">
        <f t="shared" si="447"/>
        <v>29753</v>
      </c>
      <c r="U215" s="951">
        <f t="shared" si="447"/>
        <v>3397704</v>
      </c>
      <c r="V215" s="950">
        <f t="shared" si="447"/>
        <v>0</v>
      </c>
      <c r="W215" s="951">
        <f t="shared" si="447"/>
        <v>0</v>
      </c>
      <c r="X215" s="951">
        <f t="shared" si="447"/>
        <v>0</v>
      </c>
    </row>
    <row r="216" spans="1:24" s="549" customFormat="1" ht="16.5" customHeight="1">
      <c r="A216" s="954"/>
      <c r="B216" s="955"/>
      <c r="C216" s="956"/>
      <c r="D216" s="957"/>
      <c r="E216" s="954"/>
      <c r="F216" s="954"/>
      <c r="G216" s="955"/>
      <c r="H216" s="548">
        <v>0</v>
      </c>
      <c r="I216" s="548">
        <v>0</v>
      </c>
      <c r="J216" s="959"/>
      <c r="K216" s="950"/>
      <c r="L216" s="950"/>
      <c r="M216" s="951"/>
      <c r="N216" s="951"/>
      <c r="O216" s="950"/>
      <c r="P216" s="950"/>
      <c r="Q216" s="951"/>
      <c r="R216" s="951"/>
      <c r="S216" s="950"/>
      <c r="T216" s="951"/>
      <c r="U216" s="951"/>
      <c r="V216" s="950"/>
      <c r="W216" s="951"/>
      <c r="X216" s="951"/>
    </row>
    <row r="217" spans="1:24" s="549" customFormat="1" ht="16.5" hidden="1" customHeight="1">
      <c r="A217" s="954">
        <v>38</v>
      </c>
      <c r="B217" s="955" t="s">
        <v>1017</v>
      </c>
      <c r="C217" s="956" t="s">
        <v>1018</v>
      </c>
      <c r="D217" s="957" t="s">
        <v>1019</v>
      </c>
      <c r="E217" s="954" t="s">
        <v>1020</v>
      </c>
      <c r="F217" s="954" t="s">
        <v>984</v>
      </c>
      <c r="G217" s="955" t="s">
        <v>997</v>
      </c>
      <c r="H217" s="548">
        <f>H218+H219+H220+H221</f>
        <v>3790056</v>
      </c>
      <c r="I217" s="548">
        <f>I218+I219+I220+I221</f>
        <v>1164951</v>
      </c>
      <c r="J217" s="958" t="s">
        <v>13</v>
      </c>
      <c r="K217" s="950">
        <f t="shared" ref="K217" si="448">L217+O217</f>
        <v>2185675</v>
      </c>
      <c r="L217" s="950">
        <f t="shared" ref="L217" si="449">M217+N217</f>
        <v>1853270</v>
      </c>
      <c r="M217" s="951">
        <v>40375</v>
      </c>
      <c r="N217" s="951">
        <v>1812895</v>
      </c>
      <c r="O217" s="950">
        <f t="shared" ref="O217" si="450">P217+S217+V217</f>
        <v>332405</v>
      </c>
      <c r="P217" s="950">
        <f t="shared" ref="P217" si="451">Q217+R217</f>
        <v>0</v>
      </c>
      <c r="Q217" s="951">
        <v>0</v>
      </c>
      <c r="R217" s="951">
        <v>0</v>
      </c>
      <c r="S217" s="950">
        <f t="shared" ref="S217" si="452">T217+U217</f>
        <v>332405</v>
      </c>
      <c r="T217" s="951">
        <v>7125</v>
      </c>
      <c r="U217" s="951">
        <v>325280</v>
      </c>
      <c r="V217" s="950">
        <f t="shared" ref="V217" si="453">W217+X217</f>
        <v>0</v>
      </c>
      <c r="W217" s="951">
        <v>0</v>
      </c>
      <c r="X217" s="951">
        <v>0</v>
      </c>
    </row>
    <row r="218" spans="1:24" s="549" customFormat="1" ht="16.5" hidden="1" customHeight="1">
      <c r="A218" s="954"/>
      <c r="B218" s="955"/>
      <c r="C218" s="956"/>
      <c r="D218" s="957"/>
      <c r="E218" s="954"/>
      <c r="F218" s="954"/>
      <c r="G218" s="955"/>
      <c r="H218" s="548">
        <v>2839143</v>
      </c>
      <c r="I218" s="548">
        <v>985873</v>
      </c>
      <c r="J218" s="959"/>
      <c r="K218" s="950"/>
      <c r="L218" s="950"/>
      <c r="M218" s="951"/>
      <c r="N218" s="951"/>
      <c r="O218" s="950"/>
      <c r="P218" s="950"/>
      <c r="Q218" s="951"/>
      <c r="R218" s="951"/>
      <c r="S218" s="950"/>
      <c r="T218" s="951"/>
      <c r="U218" s="951"/>
      <c r="V218" s="950"/>
      <c r="W218" s="951"/>
      <c r="X218" s="951"/>
    </row>
    <row r="219" spans="1:24" s="549" customFormat="1" ht="16.5" hidden="1" customHeight="1">
      <c r="A219" s="954"/>
      <c r="B219" s="955"/>
      <c r="C219" s="956"/>
      <c r="D219" s="957"/>
      <c r="E219" s="954"/>
      <c r="F219" s="954"/>
      <c r="G219" s="955"/>
      <c r="H219" s="548">
        <v>0</v>
      </c>
      <c r="I219" s="548">
        <v>0</v>
      </c>
      <c r="J219" s="548" t="s">
        <v>14</v>
      </c>
      <c r="K219" s="550">
        <f t="shared" ref="K219" si="454">L219+O219</f>
        <v>0</v>
      </c>
      <c r="L219" s="550">
        <f t="shared" ref="L219" si="455">M219+N219</f>
        <v>0</v>
      </c>
      <c r="M219" s="551">
        <v>0</v>
      </c>
      <c r="N219" s="551">
        <v>0</v>
      </c>
      <c r="O219" s="550">
        <f t="shared" ref="O219" si="456">P219+S219+V219</f>
        <v>0</v>
      </c>
      <c r="P219" s="550">
        <f t="shared" ref="P219" si="457">Q219+R219</f>
        <v>0</v>
      </c>
      <c r="Q219" s="551">
        <v>0</v>
      </c>
      <c r="R219" s="551">
        <v>0</v>
      </c>
      <c r="S219" s="550">
        <f t="shared" ref="S219" si="458">T219+U219</f>
        <v>0</v>
      </c>
      <c r="T219" s="551">
        <v>0</v>
      </c>
      <c r="U219" s="551">
        <v>0</v>
      </c>
      <c r="V219" s="550">
        <f t="shared" ref="V219" si="459">W219+X219</f>
        <v>0</v>
      </c>
      <c r="W219" s="551">
        <v>0</v>
      </c>
      <c r="X219" s="551">
        <v>0</v>
      </c>
    </row>
    <row r="220" spans="1:24" s="549" customFormat="1" ht="16.5" hidden="1" customHeight="1">
      <c r="A220" s="954"/>
      <c r="B220" s="955"/>
      <c r="C220" s="956"/>
      <c r="D220" s="957"/>
      <c r="E220" s="954"/>
      <c r="F220" s="954"/>
      <c r="G220" s="955"/>
      <c r="H220" s="548">
        <v>950913</v>
      </c>
      <c r="I220" s="548">
        <v>179078</v>
      </c>
      <c r="J220" s="958" t="s">
        <v>15</v>
      </c>
      <c r="K220" s="950">
        <f t="shared" ref="K220:X220" si="460">K217+K219</f>
        <v>2185675</v>
      </c>
      <c r="L220" s="950">
        <f t="shared" si="460"/>
        <v>1853270</v>
      </c>
      <c r="M220" s="951">
        <f t="shared" si="460"/>
        <v>40375</v>
      </c>
      <c r="N220" s="951">
        <f t="shared" si="460"/>
        <v>1812895</v>
      </c>
      <c r="O220" s="950">
        <f t="shared" si="460"/>
        <v>332405</v>
      </c>
      <c r="P220" s="950">
        <f t="shared" si="460"/>
        <v>0</v>
      </c>
      <c r="Q220" s="951">
        <f t="shared" si="460"/>
        <v>0</v>
      </c>
      <c r="R220" s="951">
        <f t="shared" si="460"/>
        <v>0</v>
      </c>
      <c r="S220" s="950">
        <f t="shared" si="460"/>
        <v>332405</v>
      </c>
      <c r="T220" s="951">
        <f t="shared" si="460"/>
        <v>7125</v>
      </c>
      <c r="U220" s="951">
        <f t="shared" si="460"/>
        <v>325280</v>
      </c>
      <c r="V220" s="950">
        <f t="shared" si="460"/>
        <v>0</v>
      </c>
      <c r="W220" s="951">
        <f t="shared" si="460"/>
        <v>0</v>
      </c>
      <c r="X220" s="951">
        <f t="shared" si="460"/>
        <v>0</v>
      </c>
    </row>
    <row r="221" spans="1:24" s="549" customFormat="1" ht="16.5" hidden="1" customHeight="1">
      <c r="A221" s="954"/>
      <c r="B221" s="955"/>
      <c r="C221" s="956"/>
      <c r="D221" s="957"/>
      <c r="E221" s="954"/>
      <c r="F221" s="954"/>
      <c r="G221" s="955"/>
      <c r="H221" s="548">
        <v>0</v>
      </c>
      <c r="I221" s="548">
        <v>0</v>
      </c>
      <c r="J221" s="959"/>
      <c r="K221" s="950"/>
      <c r="L221" s="950"/>
      <c r="M221" s="951"/>
      <c r="N221" s="951"/>
      <c r="O221" s="950"/>
      <c r="P221" s="950"/>
      <c r="Q221" s="951"/>
      <c r="R221" s="951"/>
      <c r="S221" s="950"/>
      <c r="T221" s="951"/>
      <c r="U221" s="951"/>
      <c r="V221" s="950"/>
      <c r="W221" s="951"/>
      <c r="X221" s="951"/>
    </row>
    <row r="222" spans="1:24" s="549" customFormat="1" ht="15.95" customHeight="1">
      <c r="A222" s="954">
        <v>28</v>
      </c>
      <c r="B222" s="955" t="s">
        <v>677</v>
      </c>
      <c r="C222" s="956" t="s">
        <v>1021</v>
      </c>
      <c r="D222" s="957" t="s">
        <v>676</v>
      </c>
      <c r="E222" s="954" t="s">
        <v>957</v>
      </c>
      <c r="F222" s="954" t="s">
        <v>1022</v>
      </c>
      <c r="G222" s="955" t="s">
        <v>959</v>
      </c>
      <c r="H222" s="548">
        <f>H223+H224+H225+H226</f>
        <v>12276164</v>
      </c>
      <c r="I222" s="548">
        <f>I223+I224+I225+I226</f>
        <v>7075436</v>
      </c>
      <c r="J222" s="958" t="s">
        <v>13</v>
      </c>
      <c r="K222" s="950">
        <f t="shared" ref="K222" si="461">L222+O222</f>
        <v>1975893</v>
      </c>
      <c r="L222" s="950">
        <f t="shared" ref="L222" si="462">M222+N222</f>
        <v>1767906</v>
      </c>
      <c r="M222" s="951">
        <v>1767906</v>
      </c>
      <c r="N222" s="951">
        <v>0</v>
      </c>
      <c r="O222" s="950">
        <f t="shared" ref="O222" si="463">P222+S222+V222</f>
        <v>207987</v>
      </c>
      <c r="P222" s="950">
        <f t="shared" ref="P222" si="464">Q222+R222</f>
        <v>207987</v>
      </c>
      <c r="Q222" s="951">
        <v>207987</v>
      </c>
      <c r="R222" s="951">
        <v>0</v>
      </c>
      <c r="S222" s="950">
        <f t="shared" ref="S222" si="465">T222+U222</f>
        <v>0</v>
      </c>
      <c r="T222" s="951">
        <v>0</v>
      </c>
      <c r="U222" s="951">
        <v>0</v>
      </c>
      <c r="V222" s="950">
        <f t="shared" ref="V222" si="466">W222+X222</f>
        <v>0</v>
      </c>
      <c r="W222" s="951">
        <v>0</v>
      </c>
      <c r="X222" s="951">
        <v>0</v>
      </c>
    </row>
    <row r="223" spans="1:24" s="549" customFormat="1" ht="15.95" customHeight="1">
      <c r="A223" s="954"/>
      <c r="B223" s="955"/>
      <c r="C223" s="956"/>
      <c r="D223" s="957"/>
      <c r="E223" s="954"/>
      <c r="F223" s="954"/>
      <c r="G223" s="955"/>
      <c r="H223" s="548">
        <v>10983936</v>
      </c>
      <c r="I223" s="548">
        <v>6330653</v>
      </c>
      <c r="J223" s="959"/>
      <c r="K223" s="950"/>
      <c r="L223" s="950"/>
      <c r="M223" s="951"/>
      <c r="N223" s="951"/>
      <c r="O223" s="950"/>
      <c r="P223" s="950"/>
      <c r="Q223" s="951"/>
      <c r="R223" s="951"/>
      <c r="S223" s="950"/>
      <c r="T223" s="951"/>
      <c r="U223" s="951"/>
      <c r="V223" s="950"/>
      <c r="W223" s="951"/>
      <c r="X223" s="951"/>
    </row>
    <row r="224" spans="1:24" s="549" customFormat="1" ht="15.95" customHeight="1">
      <c r="A224" s="954"/>
      <c r="B224" s="955"/>
      <c r="C224" s="956"/>
      <c r="D224" s="957"/>
      <c r="E224" s="954"/>
      <c r="F224" s="954"/>
      <c r="G224" s="955"/>
      <c r="H224" s="548">
        <v>1292228</v>
      </c>
      <c r="I224" s="548">
        <v>744783</v>
      </c>
      <c r="J224" s="548" t="s">
        <v>14</v>
      </c>
      <c r="K224" s="550">
        <f t="shared" ref="K224" si="467">L224+O224</f>
        <v>3224835</v>
      </c>
      <c r="L224" s="550">
        <f t="shared" ref="L224" si="468">M224+N224</f>
        <v>2885377</v>
      </c>
      <c r="M224" s="551">
        <v>2885377</v>
      </c>
      <c r="N224" s="551">
        <v>0</v>
      </c>
      <c r="O224" s="550">
        <f t="shared" ref="O224" si="469">P224+S224+V224</f>
        <v>339458</v>
      </c>
      <c r="P224" s="550">
        <f t="shared" ref="P224" si="470">Q224+R224</f>
        <v>339458</v>
      </c>
      <c r="Q224" s="551">
        <v>339458</v>
      </c>
      <c r="R224" s="551">
        <v>0</v>
      </c>
      <c r="S224" s="550">
        <f t="shared" ref="S224" si="471">T224+U224</f>
        <v>0</v>
      </c>
      <c r="T224" s="551">
        <v>0</v>
      </c>
      <c r="U224" s="551">
        <v>0</v>
      </c>
      <c r="V224" s="550">
        <f t="shared" ref="V224" si="472">W224+X224</f>
        <v>0</v>
      </c>
      <c r="W224" s="551">
        <v>0</v>
      </c>
      <c r="X224" s="551">
        <v>0</v>
      </c>
    </row>
    <row r="225" spans="1:24" s="549" customFormat="1" ht="15.95" customHeight="1">
      <c r="A225" s="954"/>
      <c r="B225" s="955"/>
      <c r="C225" s="956"/>
      <c r="D225" s="957"/>
      <c r="E225" s="954"/>
      <c r="F225" s="954"/>
      <c r="G225" s="955"/>
      <c r="H225" s="548">
        <v>0</v>
      </c>
      <c r="I225" s="548">
        <v>0</v>
      </c>
      <c r="J225" s="958" t="s">
        <v>15</v>
      </c>
      <c r="K225" s="950">
        <f t="shared" ref="K225:X225" si="473">K222+K224</f>
        <v>5200728</v>
      </c>
      <c r="L225" s="950">
        <f t="shared" si="473"/>
        <v>4653283</v>
      </c>
      <c r="M225" s="951">
        <f t="shared" si="473"/>
        <v>4653283</v>
      </c>
      <c r="N225" s="951">
        <f t="shared" si="473"/>
        <v>0</v>
      </c>
      <c r="O225" s="950">
        <f t="shared" si="473"/>
        <v>547445</v>
      </c>
      <c r="P225" s="950">
        <f t="shared" si="473"/>
        <v>547445</v>
      </c>
      <c r="Q225" s="951">
        <f t="shared" si="473"/>
        <v>547445</v>
      </c>
      <c r="R225" s="951">
        <f t="shared" si="473"/>
        <v>0</v>
      </c>
      <c r="S225" s="950">
        <f t="shared" si="473"/>
        <v>0</v>
      </c>
      <c r="T225" s="951">
        <f t="shared" si="473"/>
        <v>0</v>
      </c>
      <c r="U225" s="951">
        <f t="shared" si="473"/>
        <v>0</v>
      </c>
      <c r="V225" s="950">
        <f t="shared" si="473"/>
        <v>0</v>
      </c>
      <c r="W225" s="951">
        <f t="shared" si="473"/>
        <v>0</v>
      </c>
      <c r="X225" s="951">
        <f t="shared" si="473"/>
        <v>0</v>
      </c>
    </row>
    <row r="226" spans="1:24" s="549" customFormat="1" ht="15.95" customHeight="1">
      <c r="A226" s="954"/>
      <c r="B226" s="955"/>
      <c r="C226" s="956"/>
      <c r="D226" s="957"/>
      <c r="E226" s="954"/>
      <c r="F226" s="954"/>
      <c r="G226" s="955"/>
      <c r="H226" s="548">
        <v>0</v>
      </c>
      <c r="I226" s="548">
        <v>0</v>
      </c>
      <c r="J226" s="959"/>
      <c r="K226" s="950"/>
      <c r="L226" s="950"/>
      <c r="M226" s="951"/>
      <c r="N226" s="951"/>
      <c r="O226" s="950"/>
      <c r="P226" s="950"/>
      <c r="Q226" s="951"/>
      <c r="R226" s="951"/>
      <c r="S226" s="950"/>
      <c r="T226" s="951"/>
      <c r="U226" s="951"/>
      <c r="V226" s="950"/>
      <c r="W226" s="951"/>
      <c r="X226" s="951"/>
    </row>
    <row r="227" spans="1:24" s="549" customFormat="1" ht="16.5" hidden="1" customHeight="1">
      <c r="A227" s="954">
        <v>40</v>
      </c>
      <c r="B227" s="955" t="s">
        <v>690</v>
      </c>
      <c r="C227" s="956" t="s">
        <v>1023</v>
      </c>
      <c r="D227" s="957" t="s">
        <v>1024</v>
      </c>
      <c r="E227" s="954" t="s">
        <v>940</v>
      </c>
      <c r="F227" s="954" t="s">
        <v>1006</v>
      </c>
      <c r="G227" s="955" t="s">
        <v>944</v>
      </c>
      <c r="H227" s="548">
        <f>H228+H229+H230+H231</f>
        <v>1484640</v>
      </c>
      <c r="I227" s="548">
        <f>I228+I229+I230+I231</f>
        <v>0</v>
      </c>
      <c r="J227" s="958" t="s">
        <v>13</v>
      </c>
      <c r="K227" s="950">
        <f t="shared" ref="K227" si="474">L227+O227</f>
        <v>431100</v>
      </c>
      <c r="L227" s="950">
        <f t="shared" ref="L227" si="475">M227+N227</f>
        <v>366435</v>
      </c>
      <c r="M227" s="951">
        <v>366435</v>
      </c>
      <c r="N227" s="951">
        <v>0</v>
      </c>
      <c r="O227" s="950">
        <f t="shared" ref="O227" si="476">P227+S227+V227</f>
        <v>64665</v>
      </c>
      <c r="P227" s="950">
        <f t="shared" ref="P227" si="477">Q227+R227</f>
        <v>43110</v>
      </c>
      <c r="Q227" s="951">
        <v>43110</v>
      </c>
      <c r="R227" s="951">
        <v>0</v>
      </c>
      <c r="S227" s="950">
        <f t="shared" ref="S227" si="478">T227+U227</f>
        <v>21555</v>
      </c>
      <c r="T227" s="951">
        <v>21555</v>
      </c>
      <c r="U227" s="951">
        <v>0</v>
      </c>
      <c r="V227" s="950">
        <f t="shared" ref="V227" si="479">W227+X227</f>
        <v>0</v>
      </c>
      <c r="W227" s="951">
        <v>0</v>
      </c>
      <c r="X227" s="951">
        <v>0</v>
      </c>
    </row>
    <row r="228" spans="1:24" s="549" customFormat="1" ht="16.5" hidden="1" customHeight="1">
      <c r="A228" s="954"/>
      <c r="B228" s="955"/>
      <c r="C228" s="956"/>
      <c r="D228" s="957"/>
      <c r="E228" s="954"/>
      <c r="F228" s="954"/>
      <c r="G228" s="955"/>
      <c r="H228" s="548">
        <v>1261944</v>
      </c>
      <c r="I228" s="548">
        <v>0</v>
      </c>
      <c r="J228" s="959"/>
      <c r="K228" s="950"/>
      <c r="L228" s="950"/>
      <c r="M228" s="951"/>
      <c r="N228" s="951"/>
      <c r="O228" s="950"/>
      <c r="P228" s="950"/>
      <c r="Q228" s="951"/>
      <c r="R228" s="951"/>
      <c r="S228" s="950"/>
      <c r="T228" s="951"/>
      <c r="U228" s="951"/>
      <c r="V228" s="950"/>
      <c r="W228" s="951"/>
      <c r="X228" s="951"/>
    </row>
    <row r="229" spans="1:24" s="549" customFormat="1" ht="16.5" hidden="1" customHeight="1">
      <c r="A229" s="954"/>
      <c r="B229" s="955"/>
      <c r="C229" s="956"/>
      <c r="D229" s="957"/>
      <c r="E229" s="954"/>
      <c r="F229" s="954"/>
      <c r="G229" s="955"/>
      <c r="H229" s="548">
        <v>148464</v>
      </c>
      <c r="I229" s="548">
        <v>0</v>
      </c>
      <c r="J229" s="548" t="s">
        <v>14</v>
      </c>
      <c r="K229" s="550">
        <f t="shared" ref="K229" si="480">L229+O229</f>
        <v>0</v>
      </c>
      <c r="L229" s="550">
        <f t="shared" ref="L229" si="481">M229+N229</f>
        <v>0</v>
      </c>
      <c r="M229" s="551">
        <v>0</v>
      </c>
      <c r="N229" s="551">
        <v>0</v>
      </c>
      <c r="O229" s="550">
        <f t="shared" ref="O229" si="482">P229+S229+V229</f>
        <v>0</v>
      </c>
      <c r="P229" s="550">
        <f t="shared" ref="P229" si="483">Q229+R229</f>
        <v>0</v>
      </c>
      <c r="Q229" s="551">
        <v>0</v>
      </c>
      <c r="R229" s="551">
        <v>0</v>
      </c>
      <c r="S229" s="550">
        <f t="shared" ref="S229" si="484">T229+U229</f>
        <v>0</v>
      </c>
      <c r="T229" s="551">
        <v>0</v>
      </c>
      <c r="U229" s="551">
        <v>0</v>
      </c>
      <c r="V229" s="550">
        <f t="shared" ref="V229" si="485">W229+X229</f>
        <v>0</v>
      </c>
      <c r="W229" s="551">
        <v>0</v>
      </c>
      <c r="X229" s="551">
        <v>0</v>
      </c>
    </row>
    <row r="230" spans="1:24" s="549" customFormat="1" ht="16.5" hidden="1" customHeight="1">
      <c r="A230" s="954"/>
      <c r="B230" s="955"/>
      <c r="C230" s="956"/>
      <c r="D230" s="957"/>
      <c r="E230" s="954"/>
      <c r="F230" s="954"/>
      <c r="G230" s="955"/>
      <c r="H230" s="548">
        <v>74232</v>
      </c>
      <c r="I230" s="548">
        <v>0</v>
      </c>
      <c r="J230" s="958" t="s">
        <v>15</v>
      </c>
      <c r="K230" s="950">
        <f t="shared" ref="K230:X230" si="486">K227+K229</f>
        <v>431100</v>
      </c>
      <c r="L230" s="950">
        <f t="shared" si="486"/>
        <v>366435</v>
      </c>
      <c r="M230" s="951">
        <f t="shared" si="486"/>
        <v>366435</v>
      </c>
      <c r="N230" s="951">
        <f t="shared" si="486"/>
        <v>0</v>
      </c>
      <c r="O230" s="950">
        <f t="shared" si="486"/>
        <v>64665</v>
      </c>
      <c r="P230" s="950">
        <f t="shared" si="486"/>
        <v>43110</v>
      </c>
      <c r="Q230" s="951">
        <f t="shared" si="486"/>
        <v>43110</v>
      </c>
      <c r="R230" s="951">
        <f t="shared" si="486"/>
        <v>0</v>
      </c>
      <c r="S230" s="950">
        <f t="shared" si="486"/>
        <v>21555</v>
      </c>
      <c r="T230" s="951">
        <f t="shared" si="486"/>
        <v>21555</v>
      </c>
      <c r="U230" s="951">
        <f t="shared" si="486"/>
        <v>0</v>
      </c>
      <c r="V230" s="950">
        <f t="shared" si="486"/>
        <v>0</v>
      </c>
      <c r="W230" s="951">
        <f t="shared" si="486"/>
        <v>0</v>
      </c>
      <c r="X230" s="951">
        <f t="shared" si="486"/>
        <v>0</v>
      </c>
    </row>
    <row r="231" spans="1:24" s="549" customFormat="1" ht="16.5" hidden="1" customHeight="1">
      <c r="A231" s="954"/>
      <c r="B231" s="955"/>
      <c r="C231" s="956"/>
      <c r="D231" s="957"/>
      <c r="E231" s="954"/>
      <c r="F231" s="954"/>
      <c r="G231" s="955"/>
      <c r="H231" s="548">
        <v>0</v>
      </c>
      <c r="I231" s="548">
        <v>0</v>
      </c>
      <c r="J231" s="959"/>
      <c r="K231" s="950"/>
      <c r="L231" s="950"/>
      <c r="M231" s="951"/>
      <c r="N231" s="951"/>
      <c r="O231" s="950"/>
      <c r="P231" s="950"/>
      <c r="Q231" s="951"/>
      <c r="R231" s="951"/>
      <c r="S231" s="950"/>
      <c r="T231" s="951"/>
      <c r="U231" s="951"/>
      <c r="V231" s="950"/>
      <c r="W231" s="951"/>
      <c r="X231" s="951"/>
    </row>
    <row r="232" spans="1:24" s="549" customFormat="1" ht="16.5" customHeight="1">
      <c r="A232" s="954">
        <v>29</v>
      </c>
      <c r="B232" s="955" t="s">
        <v>690</v>
      </c>
      <c r="C232" s="956" t="s">
        <v>1023</v>
      </c>
      <c r="D232" s="978" t="s">
        <v>1025</v>
      </c>
      <c r="E232" s="981" t="s">
        <v>1026</v>
      </c>
      <c r="F232" s="981" t="s">
        <v>1027</v>
      </c>
      <c r="G232" s="972" t="s">
        <v>1028</v>
      </c>
      <c r="H232" s="548">
        <f>H233+H234+H235+H236</f>
        <v>427204</v>
      </c>
      <c r="I232" s="548">
        <f>I233+I234+I235+I236</f>
        <v>226232</v>
      </c>
      <c r="J232" s="958" t="s">
        <v>13</v>
      </c>
      <c r="K232" s="950">
        <f t="shared" ref="K232" si="487">L232+O232</f>
        <v>42371</v>
      </c>
      <c r="L232" s="950">
        <f t="shared" ref="L232" si="488">M232+N232</f>
        <v>37910</v>
      </c>
      <c r="M232" s="951">
        <v>37910</v>
      </c>
      <c r="N232" s="951">
        <v>0</v>
      </c>
      <c r="O232" s="950">
        <f t="shared" ref="O232" si="489">P232+S232+V232</f>
        <v>4461</v>
      </c>
      <c r="P232" s="950">
        <f t="shared" ref="P232" si="490">Q232+R232</f>
        <v>4461</v>
      </c>
      <c r="Q232" s="951">
        <v>4461</v>
      </c>
      <c r="R232" s="951">
        <v>0</v>
      </c>
      <c r="S232" s="950">
        <f t="shared" ref="S232" si="491">T232+U232</f>
        <v>0</v>
      </c>
      <c r="T232" s="951">
        <v>0</v>
      </c>
      <c r="U232" s="951">
        <v>0</v>
      </c>
      <c r="V232" s="950">
        <f t="shared" ref="V232" si="492">W232+X232</f>
        <v>0</v>
      </c>
      <c r="W232" s="951">
        <v>0</v>
      </c>
      <c r="X232" s="951">
        <v>0</v>
      </c>
    </row>
    <row r="233" spans="1:24" s="549" customFormat="1" ht="16.5" customHeight="1">
      <c r="A233" s="954"/>
      <c r="B233" s="955"/>
      <c r="C233" s="956"/>
      <c r="D233" s="979"/>
      <c r="E233" s="982"/>
      <c r="F233" s="982"/>
      <c r="G233" s="973"/>
      <c r="H233" s="548">
        <v>382236</v>
      </c>
      <c r="I233" s="548">
        <v>202418</v>
      </c>
      <c r="J233" s="959"/>
      <c r="K233" s="950"/>
      <c r="L233" s="950"/>
      <c r="M233" s="951"/>
      <c r="N233" s="951"/>
      <c r="O233" s="950"/>
      <c r="P233" s="950"/>
      <c r="Q233" s="951"/>
      <c r="R233" s="951"/>
      <c r="S233" s="950"/>
      <c r="T233" s="951"/>
      <c r="U233" s="951"/>
      <c r="V233" s="950"/>
      <c r="W233" s="951"/>
      <c r="X233" s="951"/>
    </row>
    <row r="234" spans="1:24" s="549" customFormat="1" ht="16.5" customHeight="1">
      <c r="A234" s="954"/>
      <c r="B234" s="955"/>
      <c r="C234" s="956"/>
      <c r="D234" s="979"/>
      <c r="E234" s="982"/>
      <c r="F234" s="982"/>
      <c r="G234" s="973"/>
      <c r="H234" s="548">
        <v>44968</v>
      </c>
      <c r="I234" s="548">
        <v>23814</v>
      </c>
      <c r="J234" s="548" t="s">
        <v>14</v>
      </c>
      <c r="K234" s="550">
        <f t="shared" ref="K234" si="493">L234+O234</f>
        <v>150414</v>
      </c>
      <c r="L234" s="550">
        <f t="shared" ref="L234" si="494">M234+N234</f>
        <v>134582</v>
      </c>
      <c r="M234" s="551">
        <v>134582</v>
      </c>
      <c r="N234" s="551">
        <v>0</v>
      </c>
      <c r="O234" s="550">
        <f t="shared" ref="O234" si="495">P234+S234+V234</f>
        <v>15832</v>
      </c>
      <c r="P234" s="550">
        <f t="shared" ref="P234" si="496">Q234+R234</f>
        <v>15832</v>
      </c>
      <c r="Q234" s="551">
        <v>15832</v>
      </c>
      <c r="R234" s="551">
        <v>0</v>
      </c>
      <c r="S234" s="550">
        <f t="shared" ref="S234" si="497">T234+U234</f>
        <v>0</v>
      </c>
      <c r="T234" s="551">
        <v>0</v>
      </c>
      <c r="U234" s="551">
        <v>0</v>
      </c>
      <c r="V234" s="550">
        <f t="shared" ref="V234" si="498">W234+X234</f>
        <v>0</v>
      </c>
      <c r="W234" s="551">
        <v>0</v>
      </c>
      <c r="X234" s="551">
        <v>0</v>
      </c>
    </row>
    <row r="235" spans="1:24" s="549" customFormat="1" ht="16.5" customHeight="1">
      <c r="A235" s="954"/>
      <c r="B235" s="955"/>
      <c r="C235" s="956"/>
      <c r="D235" s="979"/>
      <c r="E235" s="982"/>
      <c r="F235" s="982"/>
      <c r="G235" s="973"/>
      <c r="H235" s="548">
        <v>0</v>
      </c>
      <c r="I235" s="548">
        <v>0</v>
      </c>
      <c r="J235" s="958" t="s">
        <v>15</v>
      </c>
      <c r="K235" s="950">
        <f t="shared" ref="K235:X235" si="499">K232+K234</f>
        <v>192785</v>
      </c>
      <c r="L235" s="950">
        <f t="shared" si="499"/>
        <v>172492</v>
      </c>
      <c r="M235" s="951">
        <f t="shared" si="499"/>
        <v>172492</v>
      </c>
      <c r="N235" s="951">
        <f t="shared" si="499"/>
        <v>0</v>
      </c>
      <c r="O235" s="950">
        <f t="shared" si="499"/>
        <v>20293</v>
      </c>
      <c r="P235" s="950">
        <f t="shared" si="499"/>
        <v>20293</v>
      </c>
      <c r="Q235" s="951">
        <f t="shared" si="499"/>
        <v>20293</v>
      </c>
      <c r="R235" s="951">
        <f t="shared" si="499"/>
        <v>0</v>
      </c>
      <c r="S235" s="950">
        <f t="shared" si="499"/>
        <v>0</v>
      </c>
      <c r="T235" s="951">
        <f t="shared" si="499"/>
        <v>0</v>
      </c>
      <c r="U235" s="951">
        <f t="shared" si="499"/>
        <v>0</v>
      </c>
      <c r="V235" s="950">
        <f t="shared" si="499"/>
        <v>0</v>
      </c>
      <c r="W235" s="951">
        <f t="shared" si="499"/>
        <v>0</v>
      </c>
      <c r="X235" s="951">
        <f t="shared" si="499"/>
        <v>0</v>
      </c>
    </row>
    <row r="236" spans="1:24" s="549" customFormat="1" ht="16.5" customHeight="1">
      <c r="A236" s="954"/>
      <c r="B236" s="955"/>
      <c r="C236" s="956"/>
      <c r="D236" s="980"/>
      <c r="E236" s="983"/>
      <c r="F236" s="983"/>
      <c r="G236" s="974"/>
      <c r="H236" s="548">
        <v>0</v>
      </c>
      <c r="I236" s="548">
        <v>0</v>
      </c>
      <c r="J236" s="959"/>
      <c r="K236" s="950"/>
      <c r="L236" s="950"/>
      <c r="M236" s="951"/>
      <c r="N236" s="951"/>
      <c r="O236" s="950"/>
      <c r="P236" s="950"/>
      <c r="Q236" s="951"/>
      <c r="R236" s="951"/>
      <c r="S236" s="950"/>
      <c r="T236" s="951"/>
      <c r="U236" s="951"/>
      <c r="V236" s="950"/>
      <c r="W236" s="951"/>
      <c r="X236" s="951"/>
    </row>
    <row r="237" spans="1:24" s="549" customFormat="1" ht="16.5" customHeight="1">
      <c r="A237" s="954">
        <v>30</v>
      </c>
      <c r="B237" s="972" t="s">
        <v>673</v>
      </c>
      <c r="C237" s="956" t="s">
        <v>1029</v>
      </c>
      <c r="D237" s="978" t="s">
        <v>672</v>
      </c>
      <c r="E237" s="954" t="s">
        <v>957</v>
      </c>
      <c r="F237" s="981" t="s">
        <v>1030</v>
      </c>
      <c r="G237" s="972" t="s">
        <v>988</v>
      </c>
      <c r="H237" s="548">
        <f>H238+H239+H240+H241</f>
        <v>4691046</v>
      </c>
      <c r="I237" s="548">
        <f>I238+I239+I240+I241</f>
        <v>2985800</v>
      </c>
      <c r="J237" s="958" t="s">
        <v>13</v>
      </c>
      <c r="K237" s="950">
        <f t="shared" ref="K237" si="500">L237+O237</f>
        <v>1131187</v>
      </c>
      <c r="L237" s="950">
        <f t="shared" ref="L237" si="501">M237+N237</f>
        <v>1012114</v>
      </c>
      <c r="M237" s="951">
        <v>1012114</v>
      </c>
      <c r="N237" s="951">
        <v>0</v>
      </c>
      <c r="O237" s="950">
        <f t="shared" ref="O237" si="502">P237+S237+V237</f>
        <v>119073</v>
      </c>
      <c r="P237" s="950">
        <f t="shared" ref="P237" si="503">Q237+R237</f>
        <v>119073</v>
      </c>
      <c r="Q237" s="951">
        <v>119073</v>
      </c>
      <c r="R237" s="951">
        <v>0</v>
      </c>
      <c r="S237" s="950">
        <f t="shared" ref="S237" si="504">T237+U237</f>
        <v>0</v>
      </c>
      <c r="T237" s="951">
        <v>0</v>
      </c>
      <c r="U237" s="951">
        <v>0</v>
      </c>
      <c r="V237" s="950">
        <f t="shared" ref="V237" si="505">W237+X237</f>
        <v>0</v>
      </c>
      <c r="W237" s="951">
        <v>0</v>
      </c>
      <c r="X237" s="951">
        <v>0</v>
      </c>
    </row>
    <row r="238" spans="1:24" s="549" customFormat="1" ht="16.5" customHeight="1">
      <c r="A238" s="954"/>
      <c r="B238" s="973"/>
      <c r="C238" s="956"/>
      <c r="D238" s="979"/>
      <c r="E238" s="954"/>
      <c r="F238" s="982"/>
      <c r="G238" s="973"/>
      <c r="H238" s="548">
        <v>4197251</v>
      </c>
      <c r="I238" s="548">
        <v>2671505</v>
      </c>
      <c r="J238" s="959"/>
      <c r="K238" s="950"/>
      <c r="L238" s="950"/>
      <c r="M238" s="951"/>
      <c r="N238" s="951"/>
      <c r="O238" s="950"/>
      <c r="P238" s="950"/>
      <c r="Q238" s="951"/>
      <c r="R238" s="951"/>
      <c r="S238" s="950"/>
      <c r="T238" s="951"/>
      <c r="U238" s="951"/>
      <c r="V238" s="950"/>
      <c r="W238" s="951"/>
      <c r="X238" s="951"/>
    </row>
    <row r="239" spans="1:24" s="549" customFormat="1" ht="16.5" customHeight="1">
      <c r="A239" s="954"/>
      <c r="B239" s="973"/>
      <c r="C239" s="956"/>
      <c r="D239" s="979"/>
      <c r="E239" s="954"/>
      <c r="F239" s="982"/>
      <c r="G239" s="973"/>
      <c r="H239" s="548">
        <v>493795</v>
      </c>
      <c r="I239" s="548">
        <v>314295</v>
      </c>
      <c r="J239" s="548" t="s">
        <v>14</v>
      </c>
      <c r="K239" s="550">
        <f t="shared" ref="K239" si="506">L239+O239</f>
        <v>574059</v>
      </c>
      <c r="L239" s="550">
        <f t="shared" ref="L239" si="507">M239+N239</f>
        <v>513632</v>
      </c>
      <c r="M239" s="551">
        <v>513632</v>
      </c>
      <c r="N239" s="551">
        <v>0</v>
      </c>
      <c r="O239" s="550">
        <f t="shared" ref="O239" si="508">P239+S239+V239</f>
        <v>60427</v>
      </c>
      <c r="P239" s="550">
        <f t="shared" ref="P239" si="509">Q239+R239</f>
        <v>60427</v>
      </c>
      <c r="Q239" s="551">
        <v>60427</v>
      </c>
      <c r="R239" s="551">
        <v>0</v>
      </c>
      <c r="S239" s="550">
        <f t="shared" ref="S239" si="510">T239+U239</f>
        <v>0</v>
      </c>
      <c r="T239" s="551">
        <v>0</v>
      </c>
      <c r="U239" s="551">
        <v>0</v>
      </c>
      <c r="V239" s="550">
        <f t="shared" ref="V239" si="511">W239+X239</f>
        <v>0</v>
      </c>
      <c r="W239" s="551">
        <v>0</v>
      </c>
      <c r="X239" s="551">
        <v>0</v>
      </c>
    </row>
    <row r="240" spans="1:24" s="549" customFormat="1" ht="16.5" customHeight="1">
      <c r="A240" s="954"/>
      <c r="B240" s="973"/>
      <c r="C240" s="956"/>
      <c r="D240" s="979"/>
      <c r="E240" s="954"/>
      <c r="F240" s="982"/>
      <c r="G240" s="973"/>
      <c r="H240" s="548">
        <v>0</v>
      </c>
      <c r="I240" s="548">
        <v>0</v>
      </c>
      <c r="J240" s="958" t="s">
        <v>15</v>
      </c>
      <c r="K240" s="950">
        <f t="shared" ref="K240:X240" si="512">K237+K239</f>
        <v>1705246</v>
      </c>
      <c r="L240" s="950">
        <f t="shared" si="512"/>
        <v>1525746</v>
      </c>
      <c r="M240" s="951">
        <f t="shared" si="512"/>
        <v>1525746</v>
      </c>
      <c r="N240" s="951">
        <f t="shared" si="512"/>
        <v>0</v>
      </c>
      <c r="O240" s="950">
        <f t="shared" si="512"/>
        <v>179500</v>
      </c>
      <c r="P240" s="950">
        <f t="shared" si="512"/>
        <v>179500</v>
      </c>
      <c r="Q240" s="951">
        <f t="shared" si="512"/>
        <v>179500</v>
      </c>
      <c r="R240" s="951">
        <f t="shared" si="512"/>
        <v>0</v>
      </c>
      <c r="S240" s="950">
        <f t="shared" si="512"/>
        <v>0</v>
      </c>
      <c r="T240" s="951">
        <f t="shared" si="512"/>
        <v>0</v>
      </c>
      <c r="U240" s="951">
        <f t="shared" si="512"/>
        <v>0</v>
      </c>
      <c r="V240" s="950">
        <f t="shared" si="512"/>
        <v>0</v>
      </c>
      <c r="W240" s="951">
        <f t="shared" si="512"/>
        <v>0</v>
      </c>
      <c r="X240" s="951">
        <f t="shared" si="512"/>
        <v>0</v>
      </c>
    </row>
    <row r="241" spans="1:24" s="549" customFormat="1" ht="16.5" customHeight="1">
      <c r="A241" s="954"/>
      <c r="B241" s="974"/>
      <c r="C241" s="956"/>
      <c r="D241" s="980"/>
      <c r="E241" s="954"/>
      <c r="F241" s="983"/>
      <c r="G241" s="974"/>
      <c r="H241" s="548">
        <v>0</v>
      </c>
      <c r="I241" s="548">
        <v>0</v>
      </c>
      <c r="J241" s="959"/>
      <c r="K241" s="950"/>
      <c r="L241" s="950"/>
      <c r="M241" s="951"/>
      <c r="N241" s="951"/>
      <c r="O241" s="950"/>
      <c r="P241" s="950"/>
      <c r="Q241" s="951"/>
      <c r="R241" s="951"/>
      <c r="S241" s="950"/>
      <c r="T241" s="951"/>
      <c r="U241" s="951"/>
      <c r="V241" s="950"/>
      <c r="W241" s="951"/>
      <c r="X241" s="951"/>
    </row>
    <row r="242" spans="1:24" s="549" customFormat="1" ht="16.5" hidden="1" customHeight="1">
      <c r="A242" s="954">
        <v>43</v>
      </c>
      <c r="B242" s="972" t="s">
        <v>673</v>
      </c>
      <c r="C242" s="956" t="s">
        <v>1029</v>
      </c>
      <c r="D242" s="978" t="s">
        <v>1031</v>
      </c>
      <c r="E242" s="954" t="s">
        <v>957</v>
      </c>
      <c r="F242" s="981" t="s">
        <v>1030</v>
      </c>
      <c r="G242" s="972" t="s">
        <v>988</v>
      </c>
      <c r="H242" s="548">
        <f>H243+H244+H245+H246</f>
        <v>7315715</v>
      </c>
      <c r="I242" s="548">
        <f>I243+I244+I245+I246</f>
        <v>7294449</v>
      </c>
      <c r="J242" s="958" t="s">
        <v>13</v>
      </c>
      <c r="K242" s="950">
        <f t="shared" ref="K242" si="513">L242+O242</f>
        <v>21266</v>
      </c>
      <c r="L242" s="950">
        <f t="shared" ref="L242" si="514">M242+N242</f>
        <v>19027</v>
      </c>
      <c r="M242" s="951">
        <v>19027</v>
      </c>
      <c r="N242" s="951">
        <v>0</v>
      </c>
      <c r="O242" s="950">
        <f t="shared" ref="O242" si="515">P242+S242+V242</f>
        <v>2239</v>
      </c>
      <c r="P242" s="950">
        <f t="shared" ref="P242" si="516">Q242+R242</f>
        <v>2239</v>
      </c>
      <c r="Q242" s="951">
        <v>2239</v>
      </c>
      <c r="R242" s="951">
        <v>0</v>
      </c>
      <c r="S242" s="950">
        <f t="shared" ref="S242" si="517">T242+U242</f>
        <v>0</v>
      </c>
      <c r="T242" s="951">
        <v>0</v>
      </c>
      <c r="U242" s="951">
        <v>0</v>
      </c>
      <c r="V242" s="950">
        <f t="shared" ref="V242" si="518">W242+X242</f>
        <v>0</v>
      </c>
      <c r="W242" s="951">
        <v>0</v>
      </c>
      <c r="X242" s="951">
        <v>0</v>
      </c>
    </row>
    <row r="243" spans="1:24" s="549" customFormat="1" ht="16.5" hidden="1" customHeight="1">
      <c r="A243" s="954"/>
      <c r="B243" s="973"/>
      <c r="C243" s="956"/>
      <c r="D243" s="979"/>
      <c r="E243" s="954"/>
      <c r="F243" s="982"/>
      <c r="G243" s="973"/>
      <c r="H243" s="548">
        <v>6545639</v>
      </c>
      <c r="I243" s="548">
        <v>6526612</v>
      </c>
      <c r="J243" s="959"/>
      <c r="K243" s="950"/>
      <c r="L243" s="950"/>
      <c r="M243" s="951"/>
      <c r="N243" s="951"/>
      <c r="O243" s="950"/>
      <c r="P243" s="950"/>
      <c r="Q243" s="951"/>
      <c r="R243" s="951"/>
      <c r="S243" s="950"/>
      <c r="T243" s="951"/>
      <c r="U243" s="951"/>
      <c r="V243" s="950"/>
      <c r="W243" s="951"/>
      <c r="X243" s="951"/>
    </row>
    <row r="244" spans="1:24" s="549" customFormat="1" ht="16.5" hidden="1" customHeight="1">
      <c r="A244" s="954"/>
      <c r="B244" s="973"/>
      <c r="C244" s="956"/>
      <c r="D244" s="979"/>
      <c r="E244" s="954"/>
      <c r="F244" s="982"/>
      <c r="G244" s="973"/>
      <c r="H244" s="548">
        <v>770076</v>
      </c>
      <c r="I244" s="548">
        <v>767837</v>
      </c>
      <c r="J244" s="548" t="s">
        <v>14</v>
      </c>
      <c r="K244" s="550">
        <f t="shared" ref="K244" si="519">L244+O244</f>
        <v>0</v>
      </c>
      <c r="L244" s="550">
        <f t="shared" ref="L244" si="520">M244+N244</f>
        <v>0</v>
      </c>
      <c r="M244" s="551">
        <v>0</v>
      </c>
      <c r="N244" s="551">
        <v>0</v>
      </c>
      <c r="O244" s="550">
        <f t="shared" ref="O244" si="521">P244+S244+V244</f>
        <v>0</v>
      </c>
      <c r="P244" s="550">
        <f t="shared" ref="P244" si="522">Q244+R244</f>
        <v>0</v>
      </c>
      <c r="Q244" s="551">
        <v>0</v>
      </c>
      <c r="R244" s="551">
        <v>0</v>
      </c>
      <c r="S244" s="550">
        <f t="shared" ref="S244" si="523">T244+U244</f>
        <v>0</v>
      </c>
      <c r="T244" s="551">
        <v>0</v>
      </c>
      <c r="U244" s="551">
        <v>0</v>
      </c>
      <c r="V244" s="550">
        <f t="shared" ref="V244" si="524">W244+X244</f>
        <v>0</v>
      </c>
      <c r="W244" s="551">
        <v>0</v>
      </c>
      <c r="X244" s="551">
        <v>0</v>
      </c>
    </row>
    <row r="245" spans="1:24" s="549" customFormat="1" ht="16.5" hidden="1" customHeight="1">
      <c r="A245" s="954"/>
      <c r="B245" s="973"/>
      <c r="C245" s="956"/>
      <c r="D245" s="979"/>
      <c r="E245" s="954"/>
      <c r="F245" s="982"/>
      <c r="G245" s="973"/>
      <c r="H245" s="548">
        <v>0</v>
      </c>
      <c r="I245" s="548">
        <v>0</v>
      </c>
      <c r="J245" s="958" t="s">
        <v>15</v>
      </c>
      <c r="K245" s="950">
        <f t="shared" ref="K245:X245" si="525">K242+K244</f>
        <v>21266</v>
      </c>
      <c r="L245" s="950">
        <f t="shared" si="525"/>
        <v>19027</v>
      </c>
      <c r="M245" s="951">
        <f t="shared" si="525"/>
        <v>19027</v>
      </c>
      <c r="N245" s="951">
        <f t="shared" si="525"/>
        <v>0</v>
      </c>
      <c r="O245" s="950">
        <f t="shared" si="525"/>
        <v>2239</v>
      </c>
      <c r="P245" s="950">
        <f t="shared" si="525"/>
        <v>2239</v>
      </c>
      <c r="Q245" s="951">
        <f t="shared" si="525"/>
        <v>2239</v>
      </c>
      <c r="R245" s="951">
        <f t="shared" si="525"/>
        <v>0</v>
      </c>
      <c r="S245" s="950">
        <f t="shared" si="525"/>
        <v>0</v>
      </c>
      <c r="T245" s="951">
        <f t="shared" si="525"/>
        <v>0</v>
      </c>
      <c r="U245" s="951">
        <f t="shared" si="525"/>
        <v>0</v>
      </c>
      <c r="V245" s="950">
        <f t="shared" si="525"/>
        <v>0</v>
      </c>
      <c r="W245" s="951">
        <f t="shared" si="525"/>
        <v>0</v>
      </c>
      <c r="X245" s="951">
        <f t="shared" si="525"/>
        <v>0</v>
      </c>
    </row>
    <row r="246" spans="1:24" s="549" customFormat="1" ht="16.5" hidden="1" customHeight="1">
      <c r="A246" s="954"/>
      <c r="B246" s="974"/>
      <c r="C246" s="956"/>
      <c r="D246" s="980"/>
      <c r="E246" s="954"/>
      <c r="F246" s="983"/>
      <c r="G246" s="974"/>
      <c r="H246" s="548">
        <v>0</v>
      </c>
      <c r="I246" s="548">
        <v>0</v>
      </c>
      <c r="J246" s="959"/>
      <c r="K246" s="950"/>
      <c r="L246" s="950"/>
      <c r="M246" s="951"/>
      <c r="N246" s="951"/>
      <c r="O246" s="950"/>
      <c r="P246" s="950"/>
      <c r="Q246" s="951"/>
      <c r="R246" s="951"/>
      <c r="S246" s="950"/>
      <c r="T246" s="951"/>
      <c r="U246" s="951"/>
      <c r="V246" s="950"/>
      <c r="W246" s="951"/>
      <c r="X246" s="951"/>
    </row>
    <row r="247" spans="1:24" s="549" customFormat="1" ht="16.5" hidden="1" customHeight="1">
      <c r="A247" s="954">
        <v>44</v>
      </c>
      <c r="B247" s="972" t="s">
        <v>673</v>
      </c>
      <c r="C247" s="956" t="s">
        <v>1029</v>
      </c>
      <c r="D247" s="978" t="s">
        <v>674</v>
      </c>
      <c r="E247" s="954" t="s">
        <v>957</v>
      </c>
      <c r="F247" s="981" t="s">
        <v>1030</v>
      </c>
      <c r="G247" s="972" t="s">
        <v>944</v>
      </c>
      <c r="H247" s="548">
        <f>H248+H249+H250+H251</f>
        <v>4909018</v>
      </c>
      <c r="I247" s="548">
        <f>I248+I249+I250+I251</f>
        <v>0</v>
      </c>
      <c r="J247" s="958" t="s">
        <v>13</v>
      </c>
      <c r="K247" s="950">
        <f t="shared" ref="K247" si="526">L247+O247</f>
        <v>2458954</v>
      </c>
      <c r="L247" s="950">
        <f t="shared" ref="L247" si="527">M247+N247</f>
        <v>2200116</v>
      </c>
      <c r="M247" s="951">
        <v>2200116</v>
      </c>
      <c r="N247" s="951">
        <v>0</v>
      </c>
      <c r="O247" s="950">
        <f t="shared" ref="O247" si="528">P247+S247+V247</f>
        <v>258838</v>
      </c>
      <c r="P247" s="950">
        <f t="shared" ref="P247" si="529">Q247+R247</f>
        <v>258838</v>
      </c>
      <c r="Q247" s="951">
        <v>258838</v>
      </c>
      <c r="R247" s="951">
        <v>0</v>
      </c>
      <c r="S247" s="950">
        <f t="shared" ref="S247" si="530">T247+U247</f>
        <v>0</v>
      </c>
      <c r="T247" s="951">
        <v>0</v>
      </c>
      <c r="U247" s="951">
        <v>0</v>
      </c>
      <c r="V247" s="950">
        <f t="shared" ref="V247" si="531">W247+X247</f>
        <v>0</v>
      </c>
      <c r="W247" s="951">
        <v>0</v>
      </c>
      <c r="X247" s="951">
        <v>0</v>
      </c>
    </row>
    <row r="248" spans="1:24" s="549" customFormat="1" ht="16.5" hidden="1" customHeight="1">
      <c r="A248" s="954"/>
      <c r="B248" s="973"/>
      <c r="C248" s="956"/>
      <c r="D248" s="979"/>
      <c r="E248" s="954"/>
      <c r="F248" s="982"/>
      <c r="G248" s="973"/>
      <c r="H248" s="548">
        <v>4392279</v>
      </c>
      <c r="I248" s="548">
        <v>0</v>
      </c>
      <c r="J248" s="959"/>
      <c r="K248" s="950"/>
      <c r="L248" s="950"/>
      <c r="M248" s="951"/>
      <c r="N248" s="951"/>
      <c r="O248" s="950"/>
      <c r="P248" s="950"/>
      <c r="Q248" s="951"/>
      <c r="R248" s="951"/>
      <c r="S248" s="950"/>
      <c r="T248" s="951"/>
      <c r="U248" s="951"/>
      <c r="V248" s="950"/>
      <c r="W248" s="951"/>
      <c r="X248" s="951"/>
    </row>
    <row r="249" spans="1:24" s="549" customFormat="1" ht="16.5" hidden="1" customHeight="1">
      <c r="A249" s="954"/>
      <c r="B249" s="973"/>
      <c r="C249" s="956"/>
      <c r="D249" s="979"/>
      <c r="E249" s="954"/>
      <c r="F249" s="982"/>
      <c r="G249" s="973"/>
      <c r="H249" s="548">
        <v>516739</v>
      </c>
      <c r="I249" s="548">
        <v>0</v>
      </c>
      <c r="J249" s="548" t="s">
        <v>14</v>
      </c>
      <c r="K249" s="550">
        <f t="shared" ref="K249" si="532">L249+O249</f>
        <v>0</v>
      </c>
      <c r="L249" s="550">
        <f t="shared" ref="L249" si="533">M249+N249</f>
        <v>0</v>
      </c>
      <c r="M249" s="551">
        <v>0</v>
      </c>
      <c r="N249" s="551">
        <v>0</v>
      </c>
      <c r="O249" s="550">
        <f t="shared" ref="O249" si="534">P249+S249+V249</f>
        <v>0</v>
      </c>
      <c r="P249" s="550">
        <f t="shared" ref="P249" si="535">Q249+R249</f>
        <v>0</v>
      </c>
      <c r="Q249" s="551">
        <v>0</v>
      </c>
      <c r="R249" s="551">
        <v>0</v>
      </c>
      <c r="S249" s="550">
        <f t="shared" ref="S249" si="536">T249+U249</f>
        <v>0</v>
      </c>
      <c r="T249" s="551">
        <v>0</v>
      </c>
      <c r="U249" s="551">
        <v>0</v>
      </c>
      <c r="V249" s="550">
        <f t="shared" ref="V249" si="537">W249+X249</f>
        <v>0</v>
      </c>
      <c r="W249" s="551">
        <v>0</v>
      </c>
      <c r="X249" s="551">
        <v>0</v>
      </c>
    </row>
    <row r="250" spans="1:24" s="549" customFormat="1" ht="16.5" hidden="1" customHeight="1">
      <c r="A250" s="954"/>
      <c r="B250" s="973"/>
      <c r="C250" s="956"/>
      <c r="D250" s="979"/>
      <c r="E250" s="954"/>
      <c r="F250" s="982"/>
      <c r="G250" s="973"/>
      <c r="H250" s="548">
        <v>0</v>
      </c>
      <c r="I250" s="548">
        <v>0</v>
      </c>
      <c r="J250" s="958" t="s">
        <v>15</v>
      </c>
      <c r="K250" s="950">
        <f t="shared" ref="K250:X250" si="538">K247+K249</f>
        <v>2458954</v>
      </c>
      <c r="L250" s="950">
        <f t="shared" si="538"/>
        <v>2200116</v>
      </c>
      <c r="M250" s="951">
        <f t="shared" si="538"/>
        <v>2200116</v>
      </c>
      <c r="N250" s="951">
        <f t="shared" si="538"/>
        <v>0</v>
      </c>
      <c r="O250" s="950">
        <f t="shared" si="538"/>
        <v>258838</v>
      </c>
      <c r="P250" s="950">
        <f t="shared" si="538"/>
        <v>258838</v>
      </c>
      <c r="Q250" s="951">
        <f t="shared" si="538"/>
        <v>258838</v>
      </c>
      <c r="R250" s="951">
        <f t="shared" si="538"/>
        <v>0</v>
      </c>
      <c r="S250" s="950">
        <f t="shared" si="538"/>
        <v>0</v>
      </c>
      <c r="T250" s="951">
        <f t="shared" si="538"/>
        <v>0</v>
      </c>
      <c r="U250" s="951">
        <f t="shared" si="538"/>
        <v>0</v>
      </c>
      <c r="V250" s="950">
        <f t="shared" si="538"/>
        <v>0</v>
      </c>
      <c r="W250" s="951">
        <f t="shared" si="538"/>
        <v>0</v>
      </c>
      <c r="X250" s="951">
        <f t="shared" si="538"/>
        <v>0</v>
      </c>
    </row>
    <row r="251" spans="1:24" s="549" customFormat="1" ht="16.5" hidden="1" customHeight="1">
      <c r="A251" s="954"/>
      <c r="B251" s="974"/>
      <c r="C251" s="956"/>
      <c r="D251" s="980"/>
      <c r="E251" s="954"/>
      <c r="F251" s="983"/>
      <c r="G251" s="974"/>
      <c r="H251" s="548">
        <v>0</v>
      </c>
      <c r="I251" s="548">
        <v>0</v>
      </c>
      <c r="J251" s="959"/>
      <c r="K251" s="950"/>
      <c r="L251" s="950"/>
      <c r="M251" s="951"/>
      <c r="N251" s="951"/>
      <c r="O251" s="950"/>
      <c r="P251" s="950"/>
      <c r="Q251" s="951"/>
      <c r="R251" s="951"/>
      <c r="S251" s="950"/>
      <c r="T251" s="951"/>
      <c r="U251" s="951"/>
      <c r="V251" s="950"/>
      <c r="W251" s="951"/>
      <c r="X251" s="951"/>
    </row>
    <row r="252" spans="1:24" s="549" customFormat="1" ht="16.5" customHeight="1">
      <c r="A252" s="954">
        <v>31</v>
      </c>
      <c r="B252" s="975" t="s">
        <v>687</v>
      </c>
      <c r="C252" s="956" t="s">
        <v>1032</v>
      </c>
      <c r="D252" s="978" t="s">
        <v>1033</v>
      </c>
      <c r="E252" s="954" t="s">
        <v>940</v>
      </c>
      <c r="F252" s="981" t="s">
        <v>1034</v>
      </c>
      <c r="G252" s="972" t="s">
        <v>951</v>
      </c>
      <c r="H252" s="548">
        <f>H253+H254+H255+H256</f>
        <v>9781200</v>
      </c>
      <c r="I252" s="548">
        <f>I253+I254+I255+I256</f>
        <v>3203368</v>
      </c>
      <c r="J252" s="958" t="s">
        <v>13</v>
      </c>
      <c r="K252" s="950">
        <f t="shared" ref="K252" si="539">L252+O252</f>
        <v>4481723</v>
      </c>
      <c r="L252" s="950">
        <f t="shared" ref="L252" si="540">M252+N252</f>
        <v>3809465</v>
      </c>
      <c r="M252" s="951">
        <v>3809465</v>
      </c>
      <c r="N252" s="951">
        <v>0</v>
      </c>
      <c r="O252" s="950">
        <f t="shared" ref="O252" si="541">P252+S252+V252</f>
        <v>672258</v>
      </c>
      <c r="P252" s="950">
        <f t="shared" ref="P252" si="542">Q252+R252</f>
        <v>448172</v>
      </c>
      <c r="Q252" s="951">
        <v>448172</v>
      </c>
      <c r="R252" s="951">
        <v>0</v>
      </c>
      <c r="S252" s="950">
        <f t="shared" ref="S252" si="543">T252+U252</f>
        <v>224086</v>
      </c>
      <c r="T252" s="951">
        <v>224086</v>
      </c>
      <c r="U252" s="951">
        <v>0</v>
      </c>
      <c r="V252" s="950">
        <f t="shared" ref="V252" si="544">W252+X252</f>
        <v>0</v>
      </c>
      <c r="W252" s="951">
        <v>0</v>
      </c>
      <c r="X252" s="951">
        <v>0</v>
      </c>
    </row>
    <row r="253" spans="1:24" s="549" customFormat="1" ht="16.5" customHeight="1">
      <c r="A253" s="954"/>
      <c r="B253" s="976"/>
      <c r="C253" s="956"/>
      <c r="D253" s="979"/>
      <c r="E253" s="954"/>
      <c r="F253" s="982"/>
      <c r="G253" s="973"/>
      <c r="H253" s="552">
        <v>8314020</v>
      </c>
      <c r="I253" s="548">
        <v>2722863</v>
      </c>
      <c r="J253" s="959"/>
      <c r="K253" s="950"/>
      <c r="L253" s="950"/>
      <c r="M253" s="951"/>
      <c r="N253" s="951"/>
      <c r="O253" s="950"/>
      <c r="P253" s="950"/>
      <c r="Q253" s="951"/>
      <c r="R253" s="951"/>
      <c r="S253" s="950"/>
      <c r="T253" s="951"/>
      <c r="U253" s="951"/>
      <c r="V253" s="950"/>
      <c r="W253" s="951"/>
      <c r="X253" s="951"/>
    </row>
    <row r="254" spans="1:24" s="549" customFormat="1" ht="16.5" customHeight="1">
      <c r="A254" s="954"/>
      <c r="B254" s="976"/>
      <c r="C254" s="956"/>
      <c r="D254" s="979"/>
      <c r="E254" s="954"/>
      <c r="F254" s="982"/>
      <c r="G254" s="973"/>
      <c r="H254" s="552">
        <v>978120</v>
      </c>
      <c r="I254" s="548">
        <v>320337</v>
      </c>
      <c r="J254" s="548" t="s">
        <v>14</v>
      </c>
      <c r="K254" s="550">
        <f t="shared" ref="K254" si="545">L254+O254</f>
        <v>2096109</v>
      </c>
      <c r="L254" s="550">
        <f t="shared" ref="L254" si="546">M254+N254</f>
        <v>1781692</v>
      </c>
      <c r="M254" s="551">
        <v>1781692</v>
      </c>
      <c r="N254" s="551">
        <v>0</v>
      </c>
      <c r="O254" s="550">
        <f t="shared" ref="O254" si="547">P254+S254+V254</f>
        <v>314417</v>
      </c>
      <c r="P254" s="550">
        <f t="shared" ref="P254" si="548">Q254+R254</f>
        <v>209611</v>
      </c>
      <c r="Q254" s="551">
        <v>209611</v>
      </c>
      <c r="R254" s="551">
        <v>0</v>
      </c>
      <c r="S254" s="550">
        <f t="shared" ref="S254" si="549">T254+U254</f>
        <v>104806</v>
      </c>
      <c r="T254" s="551">
        <v>104806</v>
      </c>
      <c r="U254" s="551">
        <v>0</v>
      </c>
      <c r="V254" s="550">
        <f t="shared" ref="V254" si="550">W254+X254</f>
        <v>0</v>
      </c>
      <c r="W254" s="551">
        <v>0</v>
      </c>
      <c r="X254" s="551">
        <v>0</v>
      </c>
    </row>
    <row r="255" spans="1:24" s="549" customFormat="1" ht="16.5" customHeight="1">
      <c r="A255" s="954"/>
      <c r="B255" s="976"/>
      <c r="C255" s="956"/>
      <c r="D255" s="979"/>
      <c r="E255" s="954"/>
      <c r="F255" s="982"/>
      <c r="G255" s="973"/>
      <c r="H255" s="552">
        <v>489060</v>
      </c>
      <c r="I255" s="548">
        <v>160168</v>
      </c>
      <c r="J255" s="958" t="s">
        <v>15</v>
      </c>
      <c r="K255" s="950">
        <f t="shared" ref="K255:X255" si="551">K252+K254</f>
        <v>6577832</v>
      </c>
      <c r="L255" s="950">
        <f t="shared" si="551"/>
        <v>5591157</v>
      </c>
      <c r="M255" s="951">
        <f t="shared" si="551"/>
        <v>5591157</v>
      </c>
      <c r="N255" s="951">
        <f t="shared" si="551"/>
        <v>0</v>
      </c>
      <c r="O255" s="950">
        <f t="shared" si="551"/>
        <v>986675</v>
      </c>
      <c r="P255" s="950">
        <f t="shared" si="551"/>
        <v>657783</v>
      </c>
      <c r="Q255" s="951">
        <f t="shared" si="551"/>
        <v>657783</v>
      </c>
      <c r="R255" s="951">
        <f t="shared" si="551"/>
        <v>0</v>
      </c>
      <c r="S255" s="950">
        <f t="shared" si="551"/>
        <v>328892</v>
      </c>
      <c r="T255" s="951">
        <f t="shared" si="551"/>
        <v>328892</v>
      </c>
      <c r="U255" s="951">
        <f t="shared" si="551"/>
        <v>0</v>
      </c>
      <c r="V255" s="950">
        <f t="shared" si="551"/>
        <v>0</v>
      </c>
      <c r="W255" s="951">
        <f t="shared" si="551"/>
        <v>0</v>
      </c>
      <c r="X255" s="951">
        <f t="shared" si="551"/>
        <v>0</v>
      </c>
    </row>
    <row r="256" spans="1:24" s="549" customFormat="1" ht="16.5" customHeight="1">
      <c r="A256" s="954"/>
      <c r="B256" s="977"/>
      <c r="C256" s="956"/>
      <c r="D256" s="980"/>
      <c r="E256" s="954"/>
      <c r="F256" s="983"/>
      <c r="G256" s="974"/>
      <c r="H256" s="548">
        <v>0</v>
      </c>
      <c r="I256" s="548">
        <v>0</v>
      </c>
      <c r="J256" s="959"/>
      <c r="K256" s="950"/>
      <c r="L256" s="950"/>
      <c r="M256" s="951"/>
      <c r="N256" s="951"/>
      <c r="O256" s="950"/>
      <c r="P256" s="950"/>
      <c r="Q256" s="951"/>
      <c r="R256" s="951"/>
      <c r="S256" s="950"/>
      <c r="T256" s="951"/>
      <c r="U256" s="951"/>
      <c r="V256" s="950"/>
      <c r="W256" s="951"/>
      <c r="X256" s="951"/>
    </row>
    <row r="257" spans="1:24" s="549" customFormat="1" ht="16.5" customHeight="1">
      <c r="A257" s="954">
        <v>32</v>
      </c>
      <c r="B257" s="975" t="s">
        <v>687</v>
      </c>
      <c r="C257" s="956" t="s">
        <v>1032</v>
      </c>
      <c r="D257" s="995" t="s">
        <v>1035</v>
      </c>
      <c r="E257" s="986" t="s">
        <v>940</v>
      </c>
      <c r="F257" s="992" t="s">
        <v>1034</v>
      </c>
      <c r="G257" s="998" t="s">
        <v>951</v>
      </c>
      <c r="H257" s="548">
        <f>H258+H259+H260+H261</f>
        <v>57187033</v>
      </c>
      <c r="I257" s="548">
        <f>I258+I259+I260+I261</f>
        <v>35515039</v>
      </c>
      <c r="J257" s="958" t="s">
        <v>13</v>
      </c>
      <c r="K257" s="950">
        <f t="shared" ref="K257" si="552">L257+O257</f>
        <v>14928854</v>
      </c>
      <c r="L257" s="950">
        <f t="shared" ref="L257" si="553">M257+N257</f>
        <v>13357400</v>
      </c>
      <c r="M257" s="951">
        <v>12865295</v>
      </c>
      <c r="N257" s="951">
        <v>492105</v>
      </c>
      <c r="O257" s="950">
        <f t="shared" ref="O257" si="554">P257+S257+V257</f>
        <v>1571454</v>
      </c>
      <c r="P257" s="950">
        <f t="shared" ref="P257" si="555">Q257+R257</f>
        <v>1571454</v>
      </c>
      <c r="Q257" s="951">
        <v>1513559</v>
      </c>
      <c r="R257" s="951">
        <v>57895</v>
      </c>
      <c r="S257" s="950">
        <f t="shared" ref="S257" si="556">T257+U257</f>
        <v>0</v>
      </c>
      <c r="T257" s="951">
        <v>0</v>
      </c>
      <c r="U257" s="951">
        <v>0</v>
      </c>
      <c r="V257" s="950">
        <f t="shared" ref="V257" si="557">W257+X257</f>
        <v>0</v>
      </c>
      <c r="W257" s="951">
        <v>0</v>
      </c>
      <c r="X257" s="951">
        <v>0</v>
      </c>
    </row>
    <row r="258" spans="1:24" s="549" customFormat="1" ht="16.5" customHeight="1">
      <c r="A258" s="954"/>
      <c r="B258" s="976"/>
      <c r="C258" s="956"/>
      <c r="D258" s="996"/>
      <c r="E258" s="986"/>
      <c r="F258" s="993"/>
      <c r="G258" s="999"/>
      <c r="H258" s="548">
        <v>51167345</v>
      </c>
      <c r="I258" s="548">
        <v>31776614</v>
      </c>
      <c r="J258" s="959"/>
      <c r="K258" s="950"/>
      <c r="L258" s="950"/>
      <c r="M258" s="951"/>
      <c r="N258" s="951"/>
      <c r="O258" s="950"/>
      <c r="P258" s="950"/>
      <c r="Q258" s="951"/>
      <c r="R258" s="951"/>
      <c r="S258" s="950"/>
      <c r="T258" s="951"/>
      <c r="U258" s="951"/>
      <c r="V258" s="950"/>
      <c r="W258" s="951"/>
      <c r="X258" s="951"/>
    </row>
    <row r="259" spans="1:24" s="549" customFormat="1" ht="16.5" customHeight="1">
      <c r="A259" s="954"/>
      <c r="B259" s="976"/>
      <c r="C259" s="956"/>
      <c r="D259" s="996"/>
      <c r="E259" s="986"/>
      <c r="F259" s="993"/>
      <c r="G259" s="999"/>
      <c r="H259" s="548">
        <v>6019688</v>
      </c>
      <c r="I259" s="548">
        <v>3738425</v>
      </c>
      <c r="J259" s="548" t="s">
        <v>14</v>
      </c>
      <c r="K259" s="550">
        <f t="shared" ref="K259" si="558">L259+O259</f>
        <v>6743140</v>
      </c>
      <c r="L259" s="550">
        <f t="shared" ref="L259" si="559">M259+N259</f>
        <v>6033331</v>
      </c>
      <c r="M259" s="551">
        <v>5140829</v>
      </c>
      <c r="N259" s="551">
        <v>892502</v>
      </c>
      <c r="O259" s="550">
        <f t="shared" ref="O259" si="560">P259+S259+V259</f>
        <v>709809</v>
      </c>
      <c r="P259" s="550">
        <f t="shared" ref="P259" si="561">Q259+R259</f>
        <v>709809</v>
      </c>
      <c r="Q259" s="551">
        <v>604811</v>
      </c>
      <c r="R259" s="551">
        <v>104998</v>
      </c>
      <c r="S259" s="550">
        <f t="shared" ref="S259" si="562">T259+U259</f>
        <v>0</v>
      </c>
      <c r="T259" s="551">
        <v>0</v>
      </c>
      <c r="U259" s="551">
        <v>0</v>
      </c>
      <c r="V259" s="550">
        <f t="shared" ref="V259" si="563">W259+X259</f>
        <v>0</v>
      </c>
      <c r="W259" s="551">
        <v>0</v>
      </c>
      <c r="X259" s="551">
        <v>0</v>
      </c>
    </row>
    <row r="260" spans="1:24" s="549" customFormat="1" ht="16.5" customHeight="1">
      <c r="A260" s="954"/>
      <c r="B260" s="976"/>
      <c r="C260" s="956"/>
      <c r="D260" s="996"/>
      <c r="E260" s="986"/>
      <c r="F260" s="993"/>
      <c r="G260" s="999"/>
      <c r="H260" s="548">
        <v>0</v>
      </c>
      <c r="I260" s="548">
        <v>0</v>
      </c>
      <c r="J260" s="958" t="s">
        <v>15</v>
      </c>
      <c r="K260" s="950">
        <f t="shared" ref="K260:X260" si="564">K257+K259</f>
        <v>21671994</v>
      </c>
      <c r="L260" s="950">
        <f t="shared" si="564"/>
        <v>19390731</v>
      </c>
      <c r="M260" s="951">
        <f t="shared" si="564"/>
        <v>18006124</v>
      </c>
      <c r="N260" s="951">
        <f t="shared" si="564"/>
        <v>1384607</v>
      </c>
      <c r="O260" s="950">
        <f t="shared" si="564"/>
        <v>2281263</v>
      </c>
      <c r="P260" s="950">
        <f t="shared" si="564"/>
        <v>2281263</v>
      </c>
      <c r="Q260" s="951">
        <f t="shared" si="564"/>
        <v>2118370</v>
      </c>
      <c r="R260" s="951">
        <f t="shared" si="564"/>
        <v>162893</v>
      </c>
      <c r="S260" s="950">
        <f t="shared" si="564"/>
        <v>0</v>
      </c>
      <c r="T260" s="951">
        <f t="shared" si="564"/>
        <v>0</v>
      </c>
      <c r="U260" s="951">
        <f t="shared" si="564"/>
        <v>0</v>
      </c>
      <c r="V260" s="950">
        <f t="shared" si="564"/>
        <v>0</v>
      </c>
      <c r="W260" s="951">
        <f t="shared" si="564"/>
        <v>0</v>
      </c>
      <c r="X260" s="951">
        <f t="shared" si="564"/>
        <v>0</v>
      </c>
    </row>
    <row r="261" spans="1:24" s="549" customFormat="1" ht="16.5" customHeight="1">
      <c r="A261" s="954"/>
      <c r="B261" s="977"/>
      <c r="C261" s="956"/>
      <c r="D261" s="997"/>
      <c r="E261" s="986"/>
      <c r="F261" s="994"/>
      <c r="G261" s="1000"/>
      <c r="H261" s="548">
        <v>0</v>
      </c>
      <c r="I261" s="548">
        <v>0</v>
      </c>
      <c r="J261" s="959"/>
      <c r="K261" s="950"/>
      <c r="L261" s="950"/>
      <c r="M261" s="951"/>
      <c r="N261" s="951"/>
      <c r="O261" s="950"/>
      <c r="P261" s="950"/>
      <c r="Q261" s="951"/>
      <c r="R261" s="951"/>
      <c r="S261" s="950"/>
      <c r="T261" s="951"/>
      <c r="U261" s="951"/>
      <c r="V261" s="950"/>
      <c r="W261" s="951"/>
      <c r="X261" s="951"/>
    </row>
    <row r="262" spans="1:24" s="549" customFormat="1" ht="16.5" hidden="1" customHeight="1">
      <c r="A262" s="954">
        <v>1</v>
      </c>
      <c r="B262" s="975" t="s">
        <v>687</v>
      </c>
      <c r="C262" s="956" t="s">
        <v>1032</v>
      </c>
      <c r="D262" s="995" t="s">
        <v>1036</v>
      </c>
      <c r="E262" s="986" t="s">
        <v>940</v>
      </c>
      <c r="F262" s="992" t="s">
        <v>1034</v>
      </c>
      <c r="G262" s="998">
        <v>2021</v>
      </c>
      <c r="H262" s="548">
        <f>H263+H264+H265+H266</f>
        <v>7040000</v>
      </c>
      <c r="I262" s="548">
        <f>I263+I264+I265+I266</f>
        <v>0</v>
      </c>
      <c r="J262" s="958" t="s">
        <v>13</v>
      </c>
      <c r="K262" s="950">
        <f t="shared" ref="K262" si="565">L262+O262</f>
        <v>7040000</v>
      </c>
      <c r="L262" s="950">
        <f t="shared" ref="L262" si="566">M262+N262</f>
        <v>5984000</v>
      </c>
      <c r="M262" s="951">
        <v>5984000</v>
      </c>
      <c r="N262" s="951">
        <v>0</v>
      </c>
      <c r="O262" s="950">
        <f t="shared" ref="O262" si="567">P262+S262+V262</f>
        <v>1056000</v>
      </c>
      <c r="P262" s="950">
        <f t="shared" ref="P262" si="568">Q262+R262</f>
        <v>1056000</v>
      </c>
      <c r="Q262" s="951">
        <v>1056000</v>
      </c>
      <c r="R262" s="951">
        <v>0</v>
      </c>
      <c r="S262" s="950">
        <f t="shared" ref="S262" si="569">T262+U262</f>
        <v>0</v>
      </c>
      <c r="T262" s="951">
        <v>0</v>
      </c>
      <c r="U262" s="951">
        <v>0</v>
      </c>
      <c r="V262" s="950">
        <f t="shared" ref="V262" si="570">W262+X262</f>
        <v>0</v>
      </c>
      <c r="W262" s="951">
        <v>0</v>
      </c>
      <c r="X262" s="951">
        <v>0</v>
      </c>
    </row>
    <row r="263" spans="1:24" s="549" customFormat="1" ht="16.5" hidden="1" customHeight="1">
      <c r="A263" s="954"/>
      <c r="B263" s="976"/>
      <c r="C263" s="956"/>
      <c r="D263" s="996"/>
      <c r="E263" s="986"/>
      <c r="F263" s="993"/>
      <c r="G263" s="999"/>
      <c r="H263" s="548">
        <v>5984000</v>
      </c>
      <c r="I263" s="548">
        <v>0</v>
      </c>
      <c r="J263" s="959"/>
      <c r="K263" s="950"/>
      <c r="L263" s="950"/>
      <c r="M263" s="951"/>
      <c r="N263" s="951"/>
      <c r="O263" s="950"/>
      <c r="P263" s="950"/>
      <c r="Q263" s="951"/>
      <c r="R263" s="951"/>
      <c r="S263" s="950"/>
      <c r="T263" s="951"/>
      <c r="U263" s="951"/>
      <c r="V263" s="950"/>
      <c r="W263" s="951"/>
      <c r="X263" s="951"/>
    </row>
    <row r="264" spans="1:24" s="549" customFormat="1" ht="16.5" hidden="1" customHeight="1">
      <c r="A264" s="954"/>
      <c r="B264" s="976"/>
      <c r="C264" s="956"/>
      <c r="D264" s="996"/>
      <c r="E264" s="986"/>
      <c r="F264" s="993"/>
      <c r="G264" s="999"/>
      <c r="H264" s="548">
        <v>1056000</v>
      </c>
      <c r="I264" s="548">
        <v>0</v>
      </c>
      <c r="J264" s="548" t="s">
        <v>14</v>
      </c>
      <c r="K264" s="550">
        <f t="shared" ref="K264" si="571">L264+O264</f>
        <v>0</v>
      </c>
      <c r="L264" s="550">
        <f t="shared" ref="L264" si="572">M264+N264</f>
        <v>0</v>
      </c>
      <c r="M264" s="551">
        <v>0</v>
      </c>
      <c r="N264" s="551">
        <v>0</v>
      </c>
      <c r="O264" s="550">
        <f t="shared" ref="O264" si="573">P264+S264+V264</f>
        <v>0</v>
      </c>
      <c r="P264" s="550">
        <f t="shared" ref="P264" si="574">Q264+R264</f>
        <v>0</v>
      </c>
      <c r="Q264" s="551">
        <v>0</v>
      </c>
      <c r="R264" s="551">
        <v>0</v>
      </c>
      <c r="S264" s="550">
        <f t="shared" ref="S264" si="575">T264+U264</f>
        <v>0</v>
      </c>
      <c r="T264" s="551">
        <v>0</v>
      </c>
      <c r="U264" s="551">
        <v>0</v>
      </c>
      <c r="V264" s="550">
        <f t="shared" ref="V264" si="576">W264+X264</f>
        <v>0</v>
      </c>
      <c r="W264" s="551">
        <v>0</v>
      </c>
      <c r="X264" s="551">
        <v>0</v>
      </c>
    </row>
    <row r="265" spans="1:24" s="549" customFormat="1" ht="16.5" hidden="1" customHeight="1">
      <c r="A265" s="954"/>
      <c r="B265" s="976"/>
      <c r="C265" s="956"/>
      <c r="D265" s="996"/>
      <c r="E265" s="986"/>
      <c r="F265" s="993"/>
      <c r="G265" s="999"/>
      <c r="H265" s="548">
        <v>0</v>
      </c>
      <c r="I265" s="548">
        <v>0</v>
      </c>
      <c r="J265" s="958" t="s">
        <v>15</v>
      </c>
      <c r="K265" s="950">
        <f t="shared" ref="K265:X265" si="577">K262+K264</f>
        <v>7040000</v>
      </c>
      <c r="L265" s="950">
        <f t="shared" si="577"/>
        <v>5984000</v>
      </c>
      <c r="M265" s="951">
        <f t="shared" si="577"/>
        <v>5984000</v>
      </c>
      <c r="N265" s="951">
        <f t="shared" si="577"/>
        <v>0</v>
      </c>
      <c r="O265" s="950">
        <f t="shared" si="577"/>
        <v>1056000</v>
      </c>
      <c r="P265" s="950">
        <f t="shared" si="577"/>
        <v>1056000</v>
      </c>
      <c r="Q265" s="951">
        <f t="shared" si="577"/>
        <v>1056000</v>
      </c>
      <c r="R265" s="951">
        <f t="shared" si="577"/>
        <v>0</v>
      </c>
      <c r="S265" s="950">
        <f t="shared" si="577"/>
        <v>0</v>
      </c>
      <c r="T265" s="951">
        <f t="shared" si="577"/>
        <v>0</v>
      </c>
      <c r="U265" s="951">
        <f t="shared" si="577"/>
        <v>0</v>
      </c>
      <c r="V265" s="950">
        <f t="shared" si="577"/>
        <v>0</v>
      </c>
      <c r="W265" s="951">
        <f t="shared" si="577"/>
        <v>0</v>
      </c>
      <c r="X265" s="951">
        <f t="shared" si="577"/>
        <v>0</v>
      </c>
    </row>
    <row r="266" spans="1:24" s="549" customFormat="1" ht="16.5" hidden="1" customHeight="1">
      <c r="A266" s="954"/>
      <c r="B266" s="977"/>
      <c r="C266" s="956"/>
      <c r="D266" s="997"/>
      <c r="E266" s="986"/>
      <c r="F266" s="994"/>
      <c r="G266" s="1000"/>
      <c r="H266" s="548">
        <v>0</v>
      </c>
      <c r="I266" s="548">
        <v>0</v>
      </c>
      <c r="J266" s="959"/>
      <c r="K266" s="950"/>
      <c r="L266" s="950"/>
      <c r="M266" s="951"/>
      <c r="N266" s="951"/>
      <c r="O266" s="950"/>
      <c r="P266" s="950"/>
      <c r="Q266" s="951"/>
      <c r="R266" s="951"/>
      <c r="S266" s="950"/>
      <c r="T266" s="951"/>
      <c r="U266" s="951"/>
      <c r="V266" s="950"/>
      <c r="W266" s="951"/>
      <c r="X266" s="951"/>
    </row>
    <row r="267" spans="1:24" s="549" customFormat="1" ht="16.5" hidden="1" customHeight="1">
      <c r="A267" s="954">
        <v>47</v>
      </c>
      <c r="B267" s="972" t="s">
        <v>661</v>
      </c>
      <c r="C267" s="956" t="s">
        <v>1032</v>
      </c>
      <c r="D267" s="978" t="s">
        <v>660</v>
      </c>
      <c r="E267" s="954" t="s">
        <v>957</v>
      </c>
      <c r="F267" s="981" t="s">
        <v>1037</v>
      </c>
      <c r="G267" s="972" t="s">
        <v>1038</v>
      </c>
      <c r="H267" s="548">
        <f>H268+H269+H270+H271</f>
        <v>11681111</v>
      </c>
      <c r="I267" s="548">
        <f>I268+I269+I270+I271</f>
        <v>0</v>
      </c>
      <c r="J267" s="958" t="s">
        <v>13</v>
      </c>
      <c r="K267" s="950">
        <f t="shared" ref="K267" si="578">L267+O267</f>
        <v>8670352</v>
      </c>
      <c r="L267" s="950">
        <f t="shared" ref="L267" si="579">M267+N267</f>
        <v>8188666</v>
      </c>
      <c r="M267" s="951">
        <v>8188666</v>
      </c>
      <c r="N267" s="951">
        <v>0</v>
      </c>
      <c r="O267" s="950">
        <f t="shared" ref="O267" si="580">P267+S267+V267</f>
        <v>481686</v>
      </c>
      <c r="P267" s="950">
        <f t="shared" ref="P267" si="581">Q267+R267</f>
        <v>481686</v>
      </c>
      <c r="Q267" s="951">
        <v>481686</v>
      </c>
      <c r="R267" s="951">
        <v>0</v>
      </c>
      <c r="S267" s="950">
        <f t="shared" ref="S267" si="582">T267+U267</f>
        <v>0</v>
      </c>
      <c r="T267" s="951">
        <v>0</v>
      </c>
      <c r="U267" s="951">
        <v>0</v>
      </c>
      <c r="V267" s="950">
        <f t="shared" ref="V267" si="583">W267+X267</f>
        <v>0</v>
      </c>
      <c r="W267" s="951">
        <v>0</v>
      </c>
      <c r="X267" s="951">
        <v>0</v>
      </c>
    </row>
    <row r="268" spans="1:24" s="549" customFormat="1" ht="16.5" hidden="1" customHeight="1">
      <c r="A268" s="954"/>
      <c r="B268" s="973"/>
      <c r="C268" s="956"/>
      <c r="D268" s="979"/>
      <c r="E268" s="954"/>
      <c r="F268" s="982"/>
      <c r="G268" s="973"/>
      <c r="H268" s="548">
        <v>11032161</v>
      </c>
      <c r="I268" s="548">
        <v>0</v>
      </c>
      <c r="J268" s="959"/>
      <c r="K268" s="950"/>
      <c r="L268" s="950"/>
      <c r="M268" s="951"/>
      <c r="N268" s="951"/>
      <c r="O268" s="950"/>
      <c r="P268" s="950"/>
      <c r="Q268" s="951"/>
      <c r="R268" s="951"/>
      <c r="S268" s="950"/>
      <c r="T268" s="951"/>
      <c r="U268" s="951"/>
      <c r="V268" s="950"/>
      <c r="W268" s="951"/>
      <c r="X268" s="951"/>
    </row>
    <row r="269" spans="1:24" s="549" customFormat="1" ht="16.5" hidden="1" customHeight="1">
      <c r="A269" s="954"/>
      <c r="B269" s="973"/>
      <c r="C269" s="956"/>
      <c r="D269" s="979"/>
      <c r="E269" s="954"/>
      <c r="F269" s="982"/>
      <c r="G269" s="973"/>
      <c r="H269" s="548">
        <v>648950</v>
      </c>
      <c r="I269" s="548">
        <v>0</v>
      </c>
      <c r="J269" s="548" t="s">
        <v>14</v>
      </c>
      <c r="K269" s="550">
        <f t="shared" ref="K269" si="584">L269+O269</f>
        <v>0</v>
      </c>
      <c r="L269" s="550">
        <f t="shared" ref="L269" si="585">M269+N269</f>
        <v>0</v>
      </c>
      <c r="M269" s="551">
        <v>0</v>
      </c>
      <c r="N269" s="551">
        <v>0</v>
      </c>
      <c r="O269" s="550">
        <f t="shared" ref="O269" si="586">P269+S269+V269</f>
        <v>0</v>
      </c>
      <c r="P269" s="550">
        <f t="shared" ref="P269" si="587">Q269+R269</f>
        <v>0</v>
      </c>
      <c r="Q269" s="551">
        <v>0</v>
      </c>
      <c r="R269" s="551">
        <v>0</v>
      </c>
      <c r="S269" s="550">
        <f t="shared" ref="S269" si="588">T269+U269</f>
        <v>0</v>
      </c>
      <c r="T269" s="551">
        <v>0</v>
      </c>
      <c r="U269" s="551">
        <v>0</v>
      </c>
      <c r="V269" s="550">
        <f t="shared" ref="V269" si="589">W269+X269</f>
        <v>0</v>
      </c>
      <c r="W269" s="551">
        <v>0</v>
      </c>
      <c r="X269" s="551">
        <v>0</v>
      </c>
    </row>
    <row r="270" spans="1:24" s="549" customFormat="1" ht="16.5" hidden="1" customHeight="1">
      <c r="A270" s="954"/>
      <c r="B270" s="973"/>
      <c r="C270" s="956"/>
      <c r="D270" s="979"/>
      <c r="E270" s="954"/>
      <c r="F270" s="982"/>
      <c r="G270" s="973"/>
      <c r="H270" s="548">
        <v>0</v>
      </c>
      <c r="I270" s="548">
        <v>0</v>
      </c>
      <c r="J270" s="958" t="s">
        <v>15</v>
      </c>
      <c r="K270" s="950">
        <f t="shared" ref="K270:X270" si="590">K267+K269</f>
        <v>8670352</v>
      </c>
      <c r="L270" s="950">
        <f t="shared" si="590"/>
        <v>8188666</v>
      </c>
      <c r="M270" s="951">
        <f t="shared" si="590"/>
        <v>8188666</v>
      </c>
      <c r="N270" s="951">
        <f t="shared" si="590"/>
        <v>0</v>
      </c>
      <c r="O270" s="950">
        <f t="shared" si="590"/>
        <v>481686</v>
      </c>
      <c r="P270" s="950">
        <f t="shared" si="590"/>
        <v>481686</v>
      </c>
      <c r="Q270" s="951">
        <f t="shared" si="590"/>
        <v>481686</v>
      </c>
      <c r="R270" s="951">
        <f t="shared" si="590"/>
        <v>0</v>
      </c>
      <c r="S270" s="950">
        <f t="shared" si="590"/>
        <v>0</v>
      </c>
      <c r="T270" s="951">
        <f t="shared" si="590"/>
        <v>0</v>
      </c>
      <c r="U270" s="951">
        <f t="shared" si="590"/>
        <v>0</v>
      </c>
      <c r="V270" s="950">
        <f t="shared" si="590"/>
        <v>0</v>
      </c>
      <c r="W270" s="951">
        <f t="shared" si="590"/>
        <v>0</v>
      </c>
      <c r="X270" s="951">
        <f t="shared" si="590"/>
        <v>0</v>
      </c>
    </row>
    <row r="271" spans="1:24" s="549" customFormat="1" ht="16.5" hidden="1" customHeight="1">
      <c r="A271" s="954"/>
      <c r="B271" s="974"/>
      <c r="C271" s="956"/>
      <c r="D271" s="980"/>
      <c r="E271" s="954"/>
      <c r="F271" s="983"/>
      <c r="G271" s="974"/>
      <c r="H271" s="548">
        <v>0</v>
      </c>
      <c r="I271" s="548">
        <v>0</v>
      </c>
      <c r="J271" s="959"/>
      <c r="K271" s="950"/>
      <c r="L271" s="950"/>
      <c r="M271" s="951"/>
      <c r="N271" s="951"/>
      <c r="O271" s="950"/>
      <c r="P271" s="950"/>
      <c r="Q271" s="951"/>
      <c r="R271" s="951"/>
      <c r="S271" s="950"/>
      <c r="T271" s="951"/>
      <c r="U271" s="951"/>
      <c r="V271" s="950"/>
      <c r="W271" s="951"/>
      <c r="X271" s="951"/>
    </row>
    <row r="272" spans="1:24" s="549" customFormat="1" ht="15.6" hidden="1" customHeight="1">
      <c r="A272" s="954">
        <v>2</v>
      </c>
      <c r="B272" s="972" t="s">
        <v>661</v>
      </c>
      <c r="C272" s="956" t="s">
        <v>1032</v>
      </c>
      <c r="D272" s="978" t="s">
        <v>1039</v>
      </c>
      <c r="E272" s="954" t="s">
        <v>957</v>
      </c>
      <c r="F272" s="981" t="s">
        <v>1030</v>
      </c>
      <c r="G272" s="972" t="s">
        <v>988</v>
      </c>
      <c r="H272" s="548">
        <f>H273+H274+H275+H276</f>
        <v>2404648</v>
      </c>
      <c r="I272" s="548">
        <f>I273+I274+I275+I276</f>
        <v>1942670</v>
      </c>
      <c r="J272" s="958" t="s">
        <v>13</v>
      </c>
      <c r="K272" s="950">
        <f t="shared" ref="K272" si="591">L272+O272</f>
        <v>461978</v>
      </c>
      <c r="L272" s="950">
        <f t="shared" ref="L272" si="592">M272+N272</f>
        <v>426454</v>
      </c>
      <c r="M272" s="951">
        <v>426454</v>
      </c>
      <c r="N272" s="951">
        <v>0</v>
      </c>
      <c r="O272" s="950">
        <f t="shared" ref="O272" si="593">P272+S272+V272</f>
        <v>35524</v>
      </c>
      <c r="P272" s="950">
        <f t="shared" ref="P272" si="594">Q272+R272</f>
        <v>35524</v>
      </c>
      <c r="Q272" s="951">
        <v>35524</v>
      </c>
      <c r="R272" s="951">
        <v>0</v>
      </c>
      <c r="S272" s="950">
        <f t="shared" ref="S272" si="595">T272+U272</f>
        <v>0</v>
      </c>
      <c r="T272" s="951">
        <v>0</v>
      </c>
      <c r="U272" s="951">
        <v>0</v>
      </c>
      <c r="V272" s="950">
        <f t="shared" ref="V272" si="596">W272+X272</f>
        <v>0</v>
      </c>
      <c r="W272" s="951">
        <v>0</v>
      </c>
      <c r="X272" s="951">
        <v>0</v>
      </c>
    </row>
    <row r="273" spans="1:24" s="549" customFormat="1" ht="15.6" hidden="1" customHeight="1">
      <c r="A273" s="954"/>
      <c r="B273" s="973"/>
      <c r="C273" s="956"/>
      <c r="D273" s="979"/>
      <c r="E273" s="954"/>
      <c r="F273" s="982"/>
      <c r="G273" s="973"/>
      <c r="H273" s="548">
        <v>2221706</v>
      </c>
      <c r="I273" s="548">
        <v>1795252</v>
      </c>
      <c r="J273" s="959"/>
      <c r="K273" s="950"/>
      <c r="L273" s="950"/>
      <c r="M273" s="951"/>
      <c r="N273" s="951"/>
      <c r="O273" s="950"/>
      <c r="P273" s="950"/>
      <c r="Q273" s="951"/>
      <c r="R273" s="951"/>
      <c r="S273" s="950"/>
      <c r="T273" s="951"/>
      <c r="U273" s="951"/>
      <c r="V273" s="950"/>
      <c r="W273" s="951"/>
      <c r="X273" s="951"/>
    </row>
    <row r="274" spans="1:24" s="549" customFormat="1" ht="15.6" hidden="1" customHeight="1">
      <c r="A274" s="954"/>
      <c r="B274" s="973"/>
      <c r="C274" s="956"/>
      <c r="D274" s="979"/>
      <c r="E274" s="954"/>
      <c r="F274" s="982"/>
      <c r="G274" s="973"/>
      <c r="H274" s="548">
        <v>182942</v>
      </c>
      <c r="I274" s="548">
        <v>147418</v>
      </c>
      <c r="J274" s="548" t="s">
        <v>14</v>
      </c>
      <c r="K274" s="550">
        <f t="shared" ref="K274" si="597">L274+O274</f>
        <v>0</v>
      </c>
      <c r="L274" s="550">
        <f t="shared" ref="L274" si="598">M274+N274</f>
        <v>0</v>
      </c>
      <c r="M274" s="551">
        <v>0</v>
      </c>
      <c r="N274" s="551">
        <v>0</v>
      </c>
      <c r="O274" s="550">
        <f t="shared" ref="O274" si="599">P274+S274+V274</f>
        <v>0</v>
      </c>
      <c r="P274" s="550">
        <f t="shared" ref="P274" si="600">Q274+R274</f>
        <v>0</v>
      </c>
      <c r="Q274" s="551">
        <v>0</v>
      </c>
      <c r="R274" s="551">
        <v>0</v>
      </c>
      <c r="S274" s="550">
        <f t="shared" ref="S274" si="601">T274+U274</f>
        <v>0</v>
      </c>
      <c r="T274" s="551">
        <v>0</v>
      </c>
      <c r="U274" s="551">
        <v>0</v>
      </c>
      <c r="V274" s="550">
        <f t="shared" ref="V274" si="602">W274+X274</f>
        <v>0</v>
      </c>
      <c r="W274" s="551">
        <v>0</v>
      </c>
      <c r="X274" s="551">
        <v>0</v>
      </c>
    </row>
    <row r="275" spans="1:24" s="549" customFormat="1" ht="15.6" hidden="1" customHeight="1">
      <c r="A275" s="954"/>
      <c r="B275" s="973"/>
      <c r="C275" s="956"/>
      <c r="D275" s="979"/>
      <c r="E275" s="954"/>
      <c r="F275" s="982"/>
      <c r="G275" s="973"/>
      <c r="H275" s="548">
        <v>0</v>
      </c>
      <c r="I275" s="548">
        <v>0</v>
      </c>
      <c r="J275" s="958" t="s">
        <v>15</v>
      </c>
      <c r="K275" s="950">
        <f t="shared" ref="K275:X275" si="603">K272+K274</f>
        <v>461978</v>
      </c>
      <c r="L275" s="950">
        <f t="shared" si="603"/>
        <v>426454</v>
      </c>
      <c r="M275" s="951">
        <f t="shared" si="603"/>
        <v>426454</v>
      </c>
      <c r="N275" s="951">
        <f t="shared" si="603"/>
        <v>0</v>
      </c>
      <c r="O275" s="950">
        <f t="shared" si="603"/>
        <v>35524</v>
      </c>
      <c r="P275" s="950">
        <f t="shared" si="603"/>
        <v>35524</v>
      </c>
      <c r="Q275" s="951">
        <f t="shared" si="603"/>
        <v>35524</v>
      </c>
      <c r="R275" s="951">
        <f t="shared" si="603"/>
        <v>0</v>
      </c>
      <c r="S275" s="950">
        <f t="shared" si="603"/>
        <v>0</v>
      </c>
      <c r="T275" s="951">
        <f t="shared" si="603"/>
        <v>0</v>
      </c>
      <c r="U275" s="951">
        <f t="shared" si="603"/>
        <v>0</v>
      </c>
      <c r="V275" s="950">
        <f t="shared" si="603"/>
        <v>0</v>
      </c>
      <c r="W275" s="951">
        <f t="shared" si="603"/>
        <v>0</v>
      </c>
      <c r="X275" s="951">
        <f t="shared" si="603"/>
        <v>0</v>
      </c>
    </row>
    <row r="276" spans="1:24" s="549" customFormat="1" ht="15.6" hidden="1" customHeight="1">
      <c r="A276" s="954"/>
      <c r="B276" s="974"/>
      <c r="C276" s="956"/>
      <c r="D276" s="980"/>
      <c r="E276" s="954"/>
      <c r="F276" s="983"/>
      <c r="G276" s="974"/>
      <c r="H276" s="548">
        <v>0</v>
      </c>
      <c r="I276" s="548">
        <v>0</v>
      </c>
      <c r="J276" s="959"/>
      <c r="K276" s="950"/>
      <c r="L276" s="950"/>
      <c r="M276" s="951"/>
      <c r="N276" s="951"/>
      <c r="O276" s="950"/>
      <c r="P276" s="950"/>
      <c r="Q276" s="951"/>
      <c r="R276" s="951"/>
      <c r="S276" s="950"/>
      <c r="T276" s="951"/>
      <c r="U276" s="951"/>
      <c r="V276" s="950"/>
      <c r="W276" s="951"/>
      <c r="X276" s="951"/>
    </row>
    <row r="277" spans="1:24" s="549" customFormat="1" ht="16.5" customHeight="1">
      <c r="A277" s="954">
        <v>33</v>
      </c>
      <c r="B277" s="972" t="s">
        <v>661</v>
      </c>
      <c r="C277" s="956" t="s">
        <v>1032</v>
      </c>
      <c r="D277" s="978" t="s">
        <v>669</v>
      </c>
      <c r="E277" s="954" t="s">
        <v>957</v>
      </c>
      <c r="F277" s="981" t="s">
        <v>1030</v>
      </c>
      <c r="G277" s="972" t="s">
        <v>1040</v>
      </c>
      <c r="H277" s="548">
        <f>H278+H279+H280+H281</f>
        <v>16207111</v>
      </c>
      <c r="I277" s="548">
        <f>I278+I279+I280+I281</f>
        <v>0</v>
      </c>
      <c r="J277" s="958" t="s">
        <v>13</v>
      </c>
      <c r="K277" s="950">
        <f t="shared" ref="K277" si="604">L277+O277</f>
        <v>5808193</v>
      </c>
      <c r="L277" s="950">
        <f t="shared" ref="L277" si="605">M277+N277</f>
        <v>5808193</v>
      </c>
      <c r="M277" s="951">
        <v>5808193</v>
      </c>
      <c r="N277" s="951">
        <v>0</v>
      </c>
      <c r="O277" s="950">
        <f t="shared" ref="O277" si="606">P277+S277+V277</f>
        <v>0</v>
      </c>
      <c r="P277" s="950">
        <f t="shared" ref="P277" si="607">Q277+R277</f>
        <v>0</v>
      </c>
      <c r="Q277" s="951">
        <v>0</v>
      </c>
      <c r="R277" s="951">
        <v>0</v>
      </c>
      <c r="S277" s="950">
        <f t="shared" ref="S277" si="608">T277+U277</f>
        <v>0</v>
      </c>
      <c r="T277" s="951">
        <v>0</v>
      </c>
      <c r="U277" s="951">
        <v>0</v>
      </c>
      <c r="V277" s="950">
        <f t="shared" ref="V277" si="609">W277+X277</f>
        <v>0</v>
      </c>
      <c r="W277" s="951">
        <v>0</v>
      </c>
      <c r="X277" s="951">
        <v>0</v>
      </c>
    </row>
    <row r="278" spans="1:24" s="549" customFormat="1" ht="16.5" customHeight="1">
      <c r="A278" s="954"/>
      <c r="B278" s="973"/>
      <c r="C278" s="956"/>
      <c r="D278" s="979"/>
      <c r="E278" s="954"/>
      <c r="F278" s="982"/>
      <c r="G278" s="973"/>
      <c r="H278" s="548">
        <v>16207111</v>
      </c>
      <c r="I278" s="548">
        <v>0</v>
      </c>
      <c r="J278" s="959"/>
      <c r="K278" s="950"/>
      <c r="L278" s="950"/>
      <c r="M278" s="951"/>
      <c r="N278" s="951"/>
      <c r="O278" s="950"/>
      <c r="P278" s="950"/>
      <c r="Q278" s="951"/>
      <c r="R278" s="951"/>
      <c r="S278" s="950"/>
      <c r="T278" s="951"/>
      <c r="U278" s="951"/>
      <c r="V278" s="950"/>
      <c r="W278" s="951"/>
      <c r="X278" s="951"/>
    </row>
    <row r="279" spans="1:24" s="549" customFormat="1" ht="16.5" customHeight="1">
      <c r="A279" s="954"/>
      <c r="B279" s="973"/>
      <c r="C279" s="956"/>
      <c r="D279" s="979"/>
      <c r="E279" s="954"/>
      <c r="F279" s="982"/>
      <c r="G279" s="973"/>
      <c r="H279" s="548">
        <v>0</v>
      </c>
      <c r="I279" s="548">
        <v>0</v>
      </c>
      <c r="J279" s="548" t="s">
        <v>14</v>
      </c>
      <c r="K279" s="550">
        <f t="shared" ref="K279" si="610">L279+O279</f>
        <v>2663571</v>
      </c>
      <c r="L279" s="550">
        <f t="shared" ref="L279" si="611">M279+N279</f>
        <v>2663571</v>
      </c>
      <c r="M279" s="551">
        <v>2663571</v>
      </c>
      <c r="N279" s="551">
        <v>0</v>
      </c>
      <c r="O279" s="550">
        <f t="shared" ref="O279" si="612">P279+S279+V279</f>
        <v>0</v>
      </c>
      <c r="P279" s="550">
        <f t="shared" ref="P279" si="613">Q279+R279</f>
        <v>0</v>
      </c>
      <c r="Q279" s="551">
        <v>0</v>
      </c>
      <c r="R279" s="551">
        <v>0</v>
      </c>
      <c r="S279" s="550">
        <f t="shared" ref="S279" si="614">T279+U279</f>
        <v>0</v>
      </c>
      <c r="T279" s="551">
        <v>0</v>
      </c>
      <c r="U279" s="551">
        <v>0</v>
      </c>
      <c r="V279" s="550">
        <f t="shared" ref="V279" si="615">W279+X279</f>
        <v>0</v>
      </c>
      <c r="W279" s="551">
        <v>0</v>
      </c>
      <c r="X279" s="551">
        <v>0</v>
      </c>
    </row>
    <row r="280" spans="1:24" s="549" customFormat="1" ht="16.5" customHeight="1">
      <c r="A280" s="954"/>
      <c r="B280" s="973"/>
      <c r="C280" s="956"/>
      <c r="D280" s="979"/>
      <c r="E280" s="954"/>
      <c r="F280" s="982"/>
      <c r="G280" s="973"/>
      <c r="H280" s="548">
        <v>0</v>
      </c>
      <c r="I280" s="548">
        <v>0</v>
      </c>
      <c r="J280" s="958" t="s">
        <v>15</v>
      </c>
      <c r="K280" s="950">
        <f t="shared" ref="K280:X280" si="616">K277+K279</f>
        <v>8471764</v>
      </c>
      <c r="L280" s="950">
        <f t="shared" si="616"/>
        <v>8471764</v>
      </c>
      <c r="M280" s="951">
        <f t="shared" si="616"/>
        <v>8471764</v>
      </c>
      <c r="N280" s="951">
        <f t="shared" si="616"/>
        <v>0</v>
      </c>
      <c r="O280" s="950">
        <f t="shared" si="616"/>
        <v>0</v>
      </c>
      <c r="P280" s="950">
        <f t="shared" si="616"/>
        <v>0</v>
      </c>
      <c r="Q280" s="951">
        <f t="shared" si="616"/>
        <v>0</v>
      </c>
      <c r="R280" s="951">
        <f t="shared" si="616"/>
        <v>0</v>
      </c>
      <c r="S280" s="950">
        <f t="shared" si="616"/>
        <v>0</v>
      </c>
      <c r="T280" s="951">
        <f t="shared" si="616"/>
        <v>0</v>
      </c>
      <c r="U280" s="951">
        <f t="shared" si="616"/>
        <v>0</v>
      </c>
      <c r="V280" s="950">
        <f t="shared" si="616"/>
        <v>0</v>
      </c>
      <c r="W280" s="951">
        <f t="shared" si="616"/>
        <v>0</v>
      </c>
      <c r="X280" s="951">
        <f t="shared" si="616"/>
        <v>0</v>
      </c>
    </row>
    <row r="281" spans="1:24" s="549" customFormat="1" ht="16.5" customHeight="1">
      <c r="A281" s="954"/>
      <c r="B281" s="974"/>
      <c r="C281" s="956"/>
      <c r="D281" s="980"/>
      <c r="E281" s="954"/>
      <c r="F281" s="983"/>
      <c r="G281" s="974"/>
      <c r="H281" s="548">
        <v>0</v>
      </c>
      <c r="I281" s="548">
        <v>0</v>
      </c>
      <c r="J281" s="959"/>
      <c r="K281" s="950"/>
      <c r="L281" s="950"/>
      <c r="M281" s="951"/>
      <c r="N281" s="951"/>
      <c r="O281" s="950"/>
      <c r="P281" s="950"/>
      <c r="Q281" s="951"/>
      <c r="R281" s="951"/>
      <c r="S281" s="950"/>
      <c r="T281" s="951"/>
      <c r="U281" s="951"/>
      <c r="V281" s="950"/>
      <c r="W281" s="951"/>
      <c r="X281" s="951"/>
    </row>
    <row r="282" spans="1:24" s="549" customFormat="1" ht="16.5" customHeight="1">
      <c r="A282" s="954">
        <v>34</v>
      </c>
      <c r="B282" s="972" t="s">
        <v>661</v>
      </c>
      <c r="C282" s="956" t="s">
        <v>1032</v>
      </c>
      <c r="D282" s="995" t="s">
        <v>662</v>
      </c>
      <c r="E282" s="986" t="s">
        <v>957</v>
      </c>
      <c r="F282" s="992" t="s">
        <v>1041</v>
      </c>
      <c r="G282" s="998" t="s">
        <v>951</v>
      </c>
      <c r="H282" s="548">
        <f>H283+H284+H285+H286</f>
        <v>34372296</v>
      </c>
      <c r="I282" s="548">
        <f>I283+I284+I285+I286</f>
        <v>25685874</v>
      </c>
      <c r="J282" s="958" t="s">
        <v>13</v>
      </c>
      <c r="K282" s="950">
        <f t="shared" ref="K282" si="617">L282+O282</f>
        <v>4217406</v>
      </c>
      <c r="L282" s="950">
        <f t="shared" ref="L282" si="618">M282+N282</f>
        <v>3773469</v>
      </c>
      <c r="M282" s="951">
        <v>3773469</v>
      </c>
      <c r="N282" s="951">
        <v>0</v>
      </c>
      <c r="O282" s="950">
        <f t="shared" ref="O282" si="619">P282+S282+V282</f>
        <v>443937</v>
      </c>
      <c r="P282" s="950">
        <f t="shared" ref="P282" si="620">Q282+R282</f>
        <v>443937</v>
      </c>
      <c r="Q282" s="951">
        <v>443937</v>
      </c>
      <c r="R282" s="951">
        <v>0</v>
      </c>
      <c r="S282" s="950">
        <f t="shared" ref="S282" si="621">T282+U282</f>
        <v>0</v>
      </c>
      <c r="T282" s="951">
        <v>0</v>
      </c>
      <c r="U282" s="951">
        <v>0</v>
      </c>
      <c r="V282" s="950">
        <f t="shared" ref="V282" si="622">W282+X282</f>
        <v>0</v>
      </c>
      <c r="W282" s="951">
        <v>0</v>
      </c>
      <c r="X282" s="951">
        <v>0</v>
      </c>
    </row>
    <row r="283" spans="1:24" s="549" customFormat="1" ht="16.5" customHeight="1">
      <c r="A283" s="954"/>
      <c r="B283" s="973"/>
      <c r="C283" s="956"/>
      <c r="D283" s="996"/>
      <c r="E283" s="986"/>
      <c r="F283" s="993"/>
      <c r="G283" s="999"/>
      <c r="H283" s="548">
        <v>30754159</v>
      </c>
      <c r="I283" s="548">
        <v>22982098</v>
      </c>
      <c r="J283" s="959"/>
      <c r="K283" s="950"/>
      <c r="L283" s="950"/>
      <c r="M283" s="951"/>
      <c r="N283" s="951"/>
      <c r="O283" s="950"/>
      <c r="P283" s="950"/>
      <c r="Q283" s="951"/>
      <c r="R283" s="951"/>
      <c r="S283" s="950"/>
      <c r="T283" s="951"/>
      <c r="U283" s="951"/>
      <c r="V283" s="950"/>
      <c r="W283" s="951"/>
      <c r="X283" s="951"/>
    </row>
    <row r="284" spans="1:24" s="549" customFormat="1" ht="16.5" customHeight="1">
      <c r="A284" s="954"/>
      <c r="B284" s="973"/>
      <c r="C284" s="956"/>
      <c r="D284" s="996"/>
      <c r="E284" s="986"/>
      <c r="F284" s="993"/>
      <c r="G284" s="999"/>
      <c r="H284" s="548">
        <v>3618137</v>
      </c>
      <c r="I284" s="548">
        <v>2703776</v>
      </c>
      <c r="J284" s="548" t="s">
        <v>14</v>
      </c>
      <c r="K284" s="550">
        <f t="shared" ref="K284" si="623">L284+O284</f>
        <v>4469016</v>
      </c>
      <c r="L284" s="550">
        <f t="shared" ref="L284" si="624">M284+N284</f>
        <v>3998592</v>
      </c>
      <c r="M284" s="551">
        <v>3998592</v>
      </c>
      <c r="N284" s="551">
        <v>0</v>
      </c>
      <c r="O284" s="550">
        <f t="shared" ref="O284" si="625">P284+S284+V284</f>
        <v>470424</v>
      </c>
      <c r="P284" s="550">
        <f t="shared" ref="P284" si="626">Q284+R284</f>
        <v>470424</v>
      </c>
      <c r="Q284" s="551">
        <v>470424</v>
      </c>
      <c r="R284" s="551">
        <v>0</v>
      </c>
      <c r="S284" s="550">
        <f t="shared" ref="S284" si="627">T284+U284</f>
        <v>0</v>
      </c>
      <c r="T284" s="551">
        <v>0</v>
      </c>
      <c r="U284" s="551">
        <v>0</v>
      </c>
      <c r="V284" s="550">
        <f t="shared" ref="V284" si="628">W284+X284</f>
        <v>0</v>
      </c>
      <c r="W284" s="551">
        <v>0</v>
      </c>
      <c r="X284" s="551">
        <v>0</v>
      </c>
    </row>
    <row r="285" spans="1:24" s="549" customFormat="1" ht="16.5" customHeight="1">
      <c r="A285" s="954"/>
      <c r="B285" s="973"/>
      <c r="C285" s="956"/>
      <c r="D285" s="996"/>
      <c r="E285" s="986"/>
      <c r="F285" s="993"/>
      <c r="G285" s="999"/>
      <c r="H285" s="548">
        <v>0</v>
      </c>
      <c r="I285" s="548">
        <v>0</v>
      </c>
      <c r="J285" s="958" t="s">
        <v>15</v>
      </c>
      <c r="K285" s="950">
        <f t="shared" ref="K285:X285" si="629">K282+K284</f>
        <v>8686422</v>
      </c>
      <c r="L285" s="950">
        <f t="shared" si="629"/>
        <v>7772061</v>
      </c>
      <c r="M285" s="951">
        <f t="shared" si="629"/>
        <v>7772061</v>
      </c>
      <c r="N285" s="951">
        <f t="shared" si="629"/>
        <v>0</v>
      </c>
      <c r="O285" s="950">
        <f t="shared" si="629"/>
        <v>914361</v>
      </c>
      <c r="P285" s="950">
        <f t="shared" si="629"/>
        <v>914361</v>
      </c>
      <c r="Q285" s="951">
        <f t="shared" si="629"/>
        <v>914361</v>
      </c>
      <c r="R285" s="951">
        <f t="shared" si="629"/>
        <v>0</v>
      </c>
      <c r="S285" s="950">
        <f t="shared" si="629"/>
        <v>0</v>
      </c>
      <c r="T285" s="951">
        <f t="shared" si="629"/>
        <v>0</v>
      </c>
      <c r="U285" s="951">
        <f t="shared" si="629"/>
        <v>0</v>
      </c>
      <c r="V285" s="950">
        <f t="shared" si="629"/>
        <v>0</v>
      </c>
      <c r="W285" s="951">
        <f t="shared" si="629"/>
        <v>0</v>
      </c>
      <c r="X285" s="951">
        <f t="shared" si="629"/>
        <v>0</v>
      </c>
    </row>
    <row r="286" spans="1:24" s="549" customFormat="1" ht="16.5" customHeight="1">
      <c r="A286" s="954"/>
      <c r="B286" s="974"/>
      <c r="C286" s="956"/>
      <c r="D286" s="997"/>
      <c r="E286" s="986"/>
      <c r="F286" s="994"/>
      <c r="G286" s="1000"/>
      <c r="H286" s="548">
        <v>0</v>
      </c>
      <c r="I286" s="548">
        <v>0</v>
      </c>
      <c r="J286" s="959"/>
      <c r="K286" s="950"/>
      <c r="L286" s="950"/>
      <c r="M286" s="951"/>
      <c r="N286" s="951"/>
      <c r="O286" s="950"/>
      <c r="P286" s="950"/>
      <c r="Q286" s="951"/>
      <c r="R286" s="951"/>
      <c r="S286" s="950"/>
      <c r="T286" s="951"/>
      <c r="U286" s="951"/>
      <c r="V286" s="950"/>
      <c r="W286" s="951"/>
      <c r="X286" s="951"/>
    </row>
    <row r="287" spans="1:24" s="549" customFormat="1" ht="16.5" customHeight="1">
      <c r="A287" s="954">
        <v>35</v>
      </c>
      <c r="B287" s="972" t="s">
        <v>1042</v>
      </c>
      <c r="C287" s="956" t="s">
        <v>1043</v>
      </c>
      <c r="D287" s="978" t="s">
        <v>1044</v>
      </c>
      <c r="E287" s="954" t="s">
        <v>957</v>
      </c>
      <c r="F287" s="981" t="s">
        <v>1030</v>
      </c>
      <c r="G287" s="972" t="s">
        <v>948</v>
      </c>
      <c r="H287" s="548">
        <f>H288+H289+H290+H291</f>
        <v>3240000</v>
      </c>
      <c r="I287" s="548">
        <f>I288+I289+I290+I291</f>
        <v>995547</v>
      </c>
      <c r="J287" s="958" t="s">
        <v>13</v>
      </c>
      <c r="K287" s="950">
        <f t="shared" ref="K287" si="630">L287+O287</f>
        <v>704925</v>
      </c>
      <c r="L287" s="950">
        <f t="shared" ref="L287" si="631">M287+N287</f>
        <v>599186</v>
      </c>
      <c r="M287" s="951">
        <v>599186</v>
      </c>
      <c r="N287" s="951">
        <v>0</v>
      </c>
      <c r="O287" s="950">
        <f t="shared" ref="O287" si="632">P287+S287+V287</f>
        <v>105739</v>
      </c>
      <c r="P287" s="950">
        <f t="shared" ref="P287" si="633">Q287+R287</f>
        <v>0</v>
      </c>
      <c r="Q287" s="951">
        <v>0</v>
      </c>
      <c r="R287" s="951">
        <v>0</v>
      </c>
      <c r="S287" s="950">
        <f t="shared" ref="S287" si="634">T287+U287</f>
        <v>105739</v>
      </c>
      <c r="T287" s="951">
        <v>105739</v>
      </c>
      <c r="U287" s="951">
        <v>0</v>
      </c>
      <c r="V287" s="950">
        <f t="shared" ref="V287" si="635">W287+X287</f>
        <v>0</v>
      </c>
      <c r="W287" s="951">
        <v>0</v>
      </c>
      <c r="X287" s="951">
        <v>0</v>
      </c>
    </row>
    <row r="288" spans="1:24" s="549" customFormat="1" ht="16.5" customHeight="1">
      <c r="A288" s="954"/>
      <c r="B288" s="973"/>
      <c r="C288" s="956"/>
      <c r="D288" s="979"/>
      <c r="E288" s="954"/>
      <c r="F288" s="982"/>
      <c r="G288" s="973"/>
      <c r="H288" s="548">
        <v>2754000</v>
      </c>
      <c r="I288" s="548">
        <v>846215</v>
      </c>
      <c r="J288" s="959"/>
      <c r="K288" s="950"/>
      <c r="L288" s="950"/>
      <c r="M288" s="951"/>
      <c r="N288" s="951"/>
      <c r="O288" s="950"/>
      <c r="P288" s="950"/>
      <c r="Q288" s="951"/>
      <c r="R288" s="951"/>
      <c r="S288" s="950"/>
      <c r="T288" s="951"/>
      <c r="U288" s="951"/>
      <c r="V288" s="950"/>
      <c r="W288" s="951"/>
      <c r="X288" s="951"/>
    </row>
    <row r="289" spans="1:24" s="549" customFormat="1" ht="16.5" customHeight="1">
      <c r="A289" s="954"/>
      <c r="B289" s="973"/>
      <c r="C289" s="956"/>
      <c r="D289" s="979"/>
      <c r="E289" s="954"/>
      <c r="F289" s="982"/>
      <c r="G289" s="973"/>
      <c r="H289" s="548">
        <v>0</v>
      </c>
      <c r="I289" s="548">
        <v>0</v>
      </c>
      <c r="J289" s="548" t="s">
        <v>14</v>
      </c>
      <c r="K289" s="550">
        <f t="shared" ref="K289" si="636">L289+O289</f>
        <v>76540</v>
      </c>
      <c r="L289" s="550">
        <f t="shared" ref="L289" si="637">M289+N289</f>
        <v>65059</v>
      </c>
      <c r="M289" s="551">
        <v>65059</v>
      </c>
      <c r="N289" s="551">
        <v>0</v>
      </c>
      <c r="O289" s="550">
        <f t="shared" ref="O289" si="638">P289+S289+V289</f>
        <v>11481</v>
      </c>
      <c r="P289" s="550">
        <f t="shared" ref="P289" si="639">Q289+R289</f>
        <v>0</v>
      </c>
      <c r="Q289" s="551">
        <v>0</v>
      </c>
      <c r="R289" s="551">
        <v>0</v>
      </c>
      <c r="S289" s="550">
        <f t="shared" ref="S289" si="640">T289+U289</f>
        <v>11481</v>
      </c>
      <c r="T289" s="551">
        <v>11481</v>
      </c>
      <c r="U289" s="551">
        <v>0</v>
      </c>
      <c r="V289" s="550">
        <f t="shared" ref="V289" si="641">W289+X289</f>
        <v>0</v>
      </c>
      <c r="W289" s="551">
        <v>0</v>
      </c>
      <c r="X289" s="551">
        <v>0</v>
      </c>
    </row>
    <row r="290" spans="1:24" s="549" customFormat="1" ht="16.5" customHeight="1">
      <c r="A290" s="954"/>
      <c r="B290" s="973"/>
      <c r="C290" s="956"/>
      <c r="D290" s="979"/>
      <c r="E290" s="954"/>
      <c r="F290" s="982"/>
      <c r="G290" s="973"/>
      <c r="H290" s="548">
        <v>486000</v>
      </c>
      <c r="I290" s="548">
        <v>149332</v>
      </c>
      <c r="J290" s="958" t="s">
        <v>15</v>
      </c>
      <c r="K290" s="950">
        <f t="shared" ref="K290:X290" si="642">K287+K289</f>
        <v>781465</v>
      </c>
      <c r="L290" s="950">
        <f t="shared" si="642"/>
        <v>664245</v>
      </c>
      <c r="M290" s="951">
        <f t="shared" si="642"/>
        <v>664245</v>
      </c>
      <c r="N290" s="951">
        <f t="shared" si="642"/>
        <v>0</v>
      </c>
      <c r="O290" s="950">
        <f t="shared" si="642"/>
        <v>117220</v>
      </c>
      <c r="P290" s="950">
        <f t="shared" si="642"/>
        <v>0</v>
      </c>
      <c r="Q290" s="951">
        <f t="shared" si="642"/>
        <v>0</v>
      </c>
      <c r="R290" s="951">
        <f t="shared" si="642"/>
        <v>0</v>
      </c>
      <c r="S290" s="950">
        <f t="shared" si="642"/>
        <v>117220</v>
      </c>
      <c r="T290" s="951">
        <f t="shared" si="642"/>
        <v>117220</v>
      </c>
      <c r="U290" s="951">
        <f t="shared" si="642"/>
        <v>0</v>
      </c>
      <c r="V290" s="950">
        <f t="shared" si="642"/>
        <v>0</v>
      </c>
      <c r="W290" s="951">
        <f t="shared" si="642"/>
        <v>0</v>
      </c>
      <c r="X290" s="951">
        <f t="shared" si="642"/>
        <v>0</v>
      </c>
    </row>
    <row r="291" spans="1:24" s="549" customFormat="1" ht="16.5" customHeight="1">
      <c r="A291" s="954"/>
      <c r="B291" s="974"/>
      <c r="C291" s="956"/>
      <c r="D291" s="980"/>
      <c r="E291" s="954"/>
      <c r="F291" s="983"/>
      <c r="G291" s="974"/>
      <c r="H291" s="548">
        <v>0</v>
      </c>
      <c r="I291" s="548">
        <v>0</v>
      </c>
      <c r="J291" s="959"/>
      <c r="K291" s="950"/>
      <c r="L291" s="950"/>
      <c r="M291" s="951"/>
      <c r="N291" s="951"/>
      <c r="O291" s="950"/>
      <c r="P291" s="950"/>
      <c r="Q291" s="951"/>
      <c r="R291" s="951"/>
      <c r="S291" s="950"/>
      <c r="T291" s="951"/>
      <c r="U291" s="951"/>
      <c r="V291" s="950"/>
      <c r="W291" s="951"/>
      <c r="X291" s="951"/>
    </row>
    <row r="292" spans="1:24" s="549" customFormat="1" ht="16.5" hidden="1" customHeight="1">
      <c r="A292" s="954">
        <v>52</v>
      </c>
      <c r="B292" s="972" t="s">
        <v>1045</v>
      </c>
      <c r="C292" s="956" t="s">
        <v>1046</v>
      </c>
      <c r="D292" s="978" t="s">
        <v>1047</v>
      </c>
      <c r="E292" s="954" t="s">
        <v>940</v>
      </c>
      <c r="F292" s="981" t="s">
        <v>1048</v>
      </c>
      <c r="G292" s="972" t="s">
        <v>1028</v>
      </c>
      <c r="H292" s="548">
        <f>H293+H294+H295+H296</f>
        <v>2441365</v>
      </c>
      <c r="I292" s="548">
        <f>I293+I294+I295+I296</f>
        <v>0</v>
      </c>
      <c r="J292" s="958" t="s">
        <v>13</v>
      </c>
      <c r="K292" s="950">
        <f t="shared" ref="K292" si="643">L292+O292</f>
        <v>787480</v>
      </c>
      <c r="L292" s="950">
        <f t="shared" ref="L292" si="644">M292+N292</f>
        <v>669358</v>
      </c>
      <c r="M292" s="951">
        <v>669358</v>
      </c>
      <c r="N292" s="951">
        <v>0</v>
      </c>
      <c r="O292" s="950">
        <f t="shared" ref="O292" si="645">P292+S292+V292</f>
        <v>118122</v>
      </c>
      <c r="P292" s="950">
        <f t="shared" ref="P292" si="646">Q292+R292</f>
        <v>0</v>
      </c>
      <c r="Q292" s="951">
        <v>0</v>
      </c>
      <c r="R292" s="951">
        <v>0</v>
      </c>
      <c r="S292" s="950">
        <f t="shared" ref="S292" si="647">T292+U292</f>
        <v>118122</v>
      </c>
      <c r="T292" s="951">
        <v>118122</v>
      </c>
      <c r="U292" s="951">
        <v>0</v>
      </c>
      <c r="V292" s="950">
        <f t="shared" ref="V292" si="648">W292+X292</f>
        <v>0</v>
      </c>
      <c r="W292" s="951">
        <v>0</v>
      </c>
      <c r="X292" s="951">
        <v>0</v>
      </c>
    </row>
    <row r="293" spans="1:24" s="549" customFormat="1" ht="16.5" hidden="1" customHeight="1">
      <c r="A293" s="954"/>
      <c r="B293" s="973"/>
      <c r="C293" s="956"/>
      <c r="D293" s="979"/>
      <c r="E293" s="954"/>
      <c r="F293" s="982"/>
      <c r="G293" s="973"/>
      <c r="H293" s="548">
        <v>2075160</v>
      </c>
      <c r="I293" s="548">
        <v>0</v>
      </c>
      <c r="J293" s="959"/>
      <c r="K293" s="950"/>
      <c r="L293" s="950"/>
      <c r="M293" s="951"/>
      <c r="N293" s="951"/>
      <c r="O293" s="950"/>
      <c r="P293" s="950"/>
      <c r="Q293" s="951"/>
      <c r="R293" s="951"/>
      <c r="S293" s="950"/>
      <c r="T293" s="951"/>
      <c r="U293" s="951"/>
      <c r="V293" s="950"/>
      <c r="W293" s="951"/>
      <c r="X293" s="951"/>
    </row>
    <row r="294" spans="1:24" s="549" customFormat="1" ht="16.5" hidden="1" customHeight="1">
      <c r="A294" s="954"/>
      <c r="B294" s="973"/>
      <c r="C294" s="956"/>
      <c r="D294" s="979"/>
      <c r="E294" s="954"/>
      <c r="F294" s="982"/>
      <c r="G294" s="973"/>
      <c r="H294" s="548">
        <v>0</v>
      </c>
      <c r="I294" s="548">
        <v>0</v>
      </c>
      <c r="J294" s="548" t="s">
        <v>14</v>
      </c>
      <c r="K294" s="550">
        <f t="shared" ref="K294" si="649">L294+O294</f>
        <v>0</v>
      </c>
      <c r="L294" s="550">
        <f t="shared" ref="L294" si="650">M294+N294</f>
        <v>0</v>
      </c>
      <c r="M294" s="551">
        <v>0</v>
      </c>
      <c r="N294" s="551">
        <v>0</v>
      </c>
      <c r="O294" s="550">
        <f t="shared" ref="O294" si="651">P294+S294+V294</f>
        <v>0</v>
      </c>
      <c r="P294" s="550">
        <f t="shared" ref="P294" si="652">Q294+R294</f>
        <v>0</v>
      </c>
      <c r="Q294" s="551">
        <v>0</v>
      </c>
      <c r="R294" s="551">
        <v>0</v>
      </c>
      <c r="S294" s="550">
        <f t="shared" ref="S294" si="653">T294+U294</f>
        <v>0</v>
      </c>
      <c r="T294" s="551">
        <v>0</v>
      </c>
      <c r="U294" s="551">
        <v>0</v>
      </c>
      <c r="V294" s="550">
        <f t="shared" ref="V294" si="654">W294+X294</f>
        <v>0</v>
      </c>
      <c r="W294" s="551">
        <v>0</v>
      </c>
      <c r="X294" s="551">
        <v>0</v>
      </c>
    </row>
    <row r="295" spans="1:24" s="549" customFormat="1" ht="16.5" hidden="1" customHeight="1">
      <c r="A295" s="954"/>
      <c r="B295" s="973"/>
      <c r="C295" s="956"/>
      <c r="D295" s="979"/>
      <c r="E295" s="954"/>
      <c r="F295" s="982"/>
      <c r="G295" s="973"/>
      <c r="H295" s="548">
        <v>366205</v>
      </c>
      <c r="I295" s="548">
        <v>0</v>
      </c>
      <c r="J295" s="958" t="s">
        <v>15</v>
      </c>
      <c r="K295" s="950">
        <f t="shared" ref="K295:X295" si="655">K292+K294</f>
        <v>787480</v>
      </c>
      <c r="L295" s="950">
        <f t="shared" si="655"/>
        <v>669358</v>
      </c>
      <c r="M295" s="951">
        <f t="shared" si="655"/>
        <v>669358</v>
      </c>
      <c r="N295" s="951">
        <f t="shared" si="655"/>
        <v>0</v>
      </c>
      <c r="O295" s="950">
        <f t="shared" si="655"/>
        <v>118122</v>
      </c>
      <c r="P295" s="950">
        <f t="shared" si="655"/>
        <v>0</v>
      </c>
      <c r="Q295" s="951">
        <f t="shared" si="655"/>
        <v>0</v>
      </c>
      <c r="R295" s="951">
        <f t="shared" si="655"/>
        <v>0</v>
      </c>
      <c r="S295" s="950">
        <f t="shared" si="655"/>
        <v>118122</v>
      </c>
      <c r="T295" s="951">
        <f t="shared" si="655"/>
        <v>118122</v>
      </c>
      <c r="U295" s="951">
        <f t="shared" si="655"/>
        <v>0</v>
      </c>
      <c r="V295" s="950">
        <f t="shared" si="655"/>
        <v>0</v>
      </c>
      <c r="W295" s="951">
        <f t="shared" si="655"/>
        <v>0</v>
      </c>
      <c r="X295" s="951">
        <f t="shared" si="655"/>
        <v>0</v>
      </c>
    </row>
    <row r="296" spans="1:24" s="549" customFormat="1" ht="16.5" hidden="1" customHeight="1">
      <c r="A296" s="954"/>
      <c r="B296" s="974"/>
      <c r="C296" s="956"/>
      <c r="D296" s="980"/>
      <c r="E296" s="954"/>
      <c r="F296" s="983"/>
      <c r="G296" s="974"/>
      <c r="H296" s="548">
        <v>0</v>
      </c>
      <c r="I296" s="548">
        <v>0</v>
      </c>
      <c r="J296" s="959"/>
      <c r="K296" s="950"/>
      <c r="L296" s="950"/>
      <c r="M296" s="951"/>
      <c r="N296" s="951"/>
      <c r="O296" s="950"/>
      <c r="P296" s="950"/>
      <c r="Q296" s="951"/>
      <c r="R296" s="951"/>
      <c r="S296" s="950"/>
      <c r="T296" s="951"/>
      <c r="U296" s="951"/>
      <c r="V296" s="950"/>
      <c r="W296" s="951"/>
      <c r="X296" s="951"/>
    </row>
    <row r="297" spans="1:24" s="549" customFormat="1" ht="15.95" hidden="1" customHeight="1">
      <c r="A297" s="954">
        <v>53</v>
      </c>
      <c r="B297" s="972" t="s">
        <v>703</v>
      </c>
      <c r="C297" s="956" t="s">
        <v>1046</v>
      </c>
      <c r="D297" s="978" t="s">
        <v>704</v>
      </c>
      <c r="E297" s="954" t="s">
        <v>940</v>
      </c>
      <c r="F297" s="981" t="s">
        <v>1049</v>
      </c>
      <c r="G297" s="972" t="s">
        <v>945</v>
      </c>
      <c r="H297" s="548">
        <f>H298+H299+H300+H301</f>
        <v>2764483</v>
      </c>
      <c r="I297" s="548">
        <f>I298+I299+I300+I301</f>
        <v>1596423</v>
      </c>
      <c r="J297" s="958" t="s">
        <v>13</v>
      </c>
      <c r="K297" s="950">
        <f t="shared" ref="K297" si="656">L297+O297</f>
        <v>973578</v>
      </c>
      <c r="L297" s="950">
        <f t="shared" ref="L297" si="657">M297+N297</f>
        <v>871096</v>
      </c>
      <c r="M297" s="951">
        <v>871096</v>
      </c>
      <c r="N297" s="951">
        <v>0</v>
      </c>
      <c r="O297" s="950">
        <f t="shared" ref="O297" si="658">P297+S297+V297</f>
        <v>102482</v>
      </c>
      <c r="P297" s="950">
        <f t="shared" ref="P297" si="659">Q297+R297</f>
        <v>102482</v>
      </c>
      <c r="Q297" s="951">
        <v>102482</v>
      </c>
      <c r="R297" s="951">
        <v>0</v>
      </c>
      <c r="S297" s="950">
        <f t="shared" ref="S297" si="660">T297+U297</f>
        <v>0</v>
      </c>
      <c r="T297" s="951">
        <v>0</v>
      </c>
      <c r="U297" s="951">
        <v>0</v>
      </c>
      <c r="V297" s="950">
        <f t="shared" ref="V297" si="661">W297+X297</f>
        <v>0</v>
      </c>
      <c r="W297" s="951">
        <v>0</v>
      </c>
      <c r="X297" s="951">
        <v>0</v>
      </c>
    </row>
    <row r="298" spans="1:24" s="549" customFormat="1" ht="15.95" hidden="1" customHeight="1">
      <c r="A298" s="954"/>
      <c r="B298" s="973"/>
      <c r="C298" s="956"/>
      <c r="D298" s="979"/>
      <c r="E298" s="954"/>
      <c r="F298" s="982"/>
      <c r="G298" s="973"/>
      <c r="H298" s="548">
        <v>2473485</v>
      </c>
      <c r="I298" s="548">
        <v>1428375</v>
      </c>
      <c r="J298" s="959"/>
      <c r="K298" s="950"/>
      <c r="L298" s="950"/>
      <c r="M298" s="951"/>
      <c r="N298" s="951"/>
      <c r="O298" s="950"/>
      <c r="P298" s="950"/>
      <c r="Q298" s="951"/>
      <c r="R298" s="951"/>
      <c r="S298" s="950"/>
      <c r="T298" s="951"/>
      <c r="U298" s="951"/>
      <c r="V298" s="950"/>
      <c r="W298" s="951"/>
      <c r="X298" s="951"/>
    </row>
    <row r="299" spans="1:24" s="549" customFormat="1" ht="15.95" hidden="1" customHeight="1">
      <c r="A299" s="954"/>
      <c r="B299" s="973"/>
      <c r="C299" s="956"/>
      <c r="D299" s="979"/>
      <c r="E299" s="954"/>
      <c r="F299" s="982"/>
      <c r="G299" s="973"/>
      <c r="H299" s="548">
        <v>290998</v>
      </c>
      <c r="I299" s="548">
        <v>168048</v>
      </c>
      <c r="J299" s="548" t="s">
        <v>14</v>
      </c>
      <c r="K299" s="550">
        <f t="shared" ref="K299" si="662">L299+O299</f>
        <v>0</v>
      </c>
      <c r="L299" s="550">
        <f t="shared" ref="L299" si="663">M299+N299</f>
        <v>0</v>
      </c>
      <c r="M299" s="551">
        <v>0</v>
      </c>
      <c r="N299" s="551">
        <v>0</v>
      </c>
      <c r="O299" s="550">
        <f t="shared" ref="O299" si="664">P299+S299+V299</f>
        <v>0</v>
      </c>
      <c r="P299" s="550">
        <f t="shared" ref="P299" si="665">Q299+R299</f>
        <v>0</v>
      </c>
      <c r="Q299" s="551">
        <v>0</v>
      </c>
      <c r="R299" s="551">
        <v>0</v>
      </c>
      <c r="S299" s="550">
        <f t="shared" ref="S299" si="666">T299+U299</f>
        <v>0</v>
      </c>
      <c r="T299" s="551">
        <v>0</v>
      </c>
      <c r="U299" s="551">
        <v>0</v>
      </c>
      <c r="V299" s="550">
        <f t="shared" ref="V299" si="667">W299+X299</f>
        <v>0</v>
      </c>
      <c r="W299" s="551">
        <v>0</v>
      </c>
      <c r="X299" s="551">
        <v>0</v>
      </c>
    </row>
    <row r="300" spans="1:24" s="549" customFormat="1" ht="15.95" hidden="1" customHeight="1">
      <c r="A300" s="954"/>
      <c r="B300" s="973"/>
      <c r="C300" s="956"/>
      <c r="D300" s="979"/>
      <c r="E300" s="954"/>
      <c r="F300" s="982"/>
      <c r="G300" s="973"/>
      <c r="H300" s="548">
        <v>0</v>
      </c>
      <c r="I300" s="548">
        <v>0</v>
      </c>
      <c r="J300" s="958" t="s">
        <v>15</v>
      </c>
      <c r="K300" s="950">
        <f t="shared" ref="K300:X300" si="668">K297+K299</f>
        <v>973578</v>
      </c>
      <c r="L300" s="950">
        <f t="shared" si="668"/>
        <v>871096</v>
      </c>
      <c r="M300" s="951">
        <f t="shared" si="668"/>
        <v>871096</v>
      </c>
      <c r="N300" s="951">
        <f t="shared" si="668"/>
        <v>0</v>
      </c>
      <c r="O300" s="950">
        <f t="shared" si="668"/>
        <v>102482</v>
      </c>
      <c r="P300" s="950">
        <f t="shared" si="668"/>
        <v>102482</v>
      </c>
      <c r="Q300" s="951">
        <f t="shared" si="668"/>
        <v>102482</v>
      </c>
      <c r="R300" s="951">
        <f t="shared" si="668"/>
        <v>0</v>
      </c>
      <c r="S300" s="950">
        <f t="shared" si="668"/>
        <v>0</v>
      </c>
      <c r="T300" s="951">
        <f t="shared" si="668"/>
        <v>0</v>
      </c>
      <c r="U300" s="951">
        <f t="shared" si="668"/>
        <v>0</v>
      </c>
      <c r="V300" s="950">
        <f t="shared" si="668"/>
        <v>0</v>
      </c>
      <c r="W300" s="951">
        <f t="shared" si="668"/>
        <v>0</v>
      </c>
      <c r="X300" s="951">
        <f t="shared" si="668"/>
        <v>0</v>
      </c>
    </row>
    <row r="301" spans="1:24" s="549" customFormat="1" ht="15.95" hidden="1" customHeight="1">
      <c r="A301" s="954"/>
      <c r="B301" s="974"/>
      <c r="C301" s="956"/>
      <c r="D301" s="980"/>
      <c r="E301" s="954"/>
      <c r="F301" s="983"/>
      <c r="G301" s="974"/>
      <c r="H301" s="548">
        <v>0</v>
      </c>
      <c r="I301" s="548">
        <v>0</v>
      </c>
      <c r="J301" s="959"/>
      <c r="K301" s="950"/>
      <c r="L301" s="950"/>
      <c r="M301" s="951"/>
      <c r="N301" s="951"/>
      <c r="O301" s="950"/>
      <c r="P301" s="950"/>
      <c r="Q301" s="951"/>
      <c r="R301" s="951"/>
      <c r="S301" s="950"/>
      <c r="T301" s="951"/>
      <c r="U301" s="951"/>
      <c r="V301" s="950"/>
      <c r="W301" s="951"/>
      <c r="X301" s="951"/>
    </row>
    <row r="302" spans="1:24" s="549" customFormat="1" ht="15.6" customHeight="1">
      <c r="A302" s="954">
        <v>36</v>
      </c>
      <c r="B302" s="972" t="s">
        <v>703</v>
      </c>
      <c r="C302" s="956" t="s">
        <v>1046</v>
      </c>
      <c r="D302" s="978" t="s">
        <v>702</v>
      </c>
      <c r="E302" s="954" t="s">
        <v>940</v>
      </c>
      <c r="F302" s="981" t="s">
        <v>1049</v>
      </c>
      <c r="G302" s="972" t="s">
        <v>948</v>
      </c>
      <c r="H302" s="548">
        <f>H303+H304+H305+H306</f>
        <v>3517126</v>
      </c>
      <c r="I302" s="548">
        <f>I303+I304+I305+I306</f>
        <v>1977469</v>
      </c>
      <c r="J302" s="958" t="s">
        <v>13</v>
      </c>
      <c r="K302" s="950">
        <f t="shared" ref="K302" si="669">L302+O302</f>
        <v>512483</v>
      </c>
      <c r="L302" s="950">
        <f t="shared" ref="L302" si="670">M302+N302</f>
        <v>512483</v>
      </c>
      <c r="M302" s="951">
        <v>512483</v>
      </c>
      <c r="N302" s="951">
        <v>0</v>
      </c>
      <c r="O302" s="950">
        <f t="shared" ref="O302" si="671">P302+S302+V302</f>
        <v>0</v>
      </c>
      <c r="P302" s="950">
        <f t="shared" ref="P302" si="672">Q302+R302</f>
        <v>0</v>
      </c>
      <c r="Q302" s="951">
        <v>0</v>
      </c>
      <c r="R302" s="951">
        <v>0</v>
      </c>
      <c r="S302" s="950">
        <f t="shared" ref="S302" si="673">T302+U302</f>
        <v>0</v>
      </c>
      <c r="T302" s="951">
        <v>0</v>
      </c>
      <c r="U302" s="951">
        <v>0</v>
      </c>
      <c r="V302" s="950">
        <f t="shared" ref="V302" si="674">W302+X302</f>
        <v>0</v>
      </c>
      <c r="W302" s="951">
        <v>0</v>
      </c>
      <c r="X302" s="951">
        <v>0</v>
      </c>
    </row>
    <row r="303" spans="1:24" s="549" customFormat="1" ht="15.6" customHeight="1">
      <c r="A303" s="954"/>
      <c r="B303" s="973"/>
      <c r="C303" s="956"/>
      <c r="D303" s="979"/>
      <c r="E303" s="954"/>
      <c r="F303" s="982"/>
      <c r="G303" s="973"/>
      <c r="H303" s="548">
        <v>3517126</v>
      </c>
      <c r="I303" s="548">
        <v>1977469</v>
      </c>
      <c r="J303" s="959"/>
      <c r="K303" s="950"/>
      <c r="L303" s="950"/>
      <c r="M303" s="951"/>
      <c r="N303" s="951"/>
      <c r="O303" s="950"/>
      <c r="P303" s="950"/>
      <c r="Q303" s="951"/>
      <c r="R303" s="951"/>
      <c r="S303" s="950"/>
      <c r="T303" s="951"/>
      <c r="U303" s="951"/>
      <c r="V303" s="950"/>
      <c r="W303" s="951"/>
      <c r="X303" s="951"/>
    </row>
    <row r="304" spans="1:24" s="549" customFormat="1" ht="15.6" customHeight="1">
      <c r="A304" s="954"/>
      <c r="B304" s="973"/>
      <c r="C304" s="956"/>
      <c r="D304" s="979"/>
      <c r="E304" s="954"/>
      <c r="F304" s="982"/>
      <c r="G304" s="973"/>
      <c r="H304" s="548">
        <v>0</v>
      </c>
      <c r="I304" s="548">
        <v>0</v>
      </c>
      <c r="J304" s="548" t="s">
        <v>14</v>
      </c>
      <c r="K304" s="550">
        <f t="shared" ref="K304" si="675">L304+O304</f>
        <v>257519</v>
      </c>
      <c r="L304" s="550">
        <f t="shared" ref="L304" si="676">M304+N304</f>
        <v>257519</v>
      </c>
      <c r="M304" s="551">
        <v>257519</v>
      </c>
      <c r="N304" s="551">
        <v>0</v>
      </c>
      <c r="O304" s="550">
        <f t="shared" ref="O304" si="677">P304+S304+V304</f>
        <v>0</v>
      </c>
      <c r="P304" s="550">
        <f t="shared" ref="P304" si="678">Q304+R304</f>
        <v>0</v>
      </c>
      <c r="Q304" s="551">
        <v>0</v>
      </c>
      <c r="R304" s="551">
        <v>0</v>
      </c>
      <c r="S304" s="550">
        <f t="shared" ref="S304" si="679">T304+U304</f>
        <v>0</v>
      </c>
      <c r="T304" s="551">
        <v>0</v>
      </c>
      <c r="U304" s="551">
        <v>0</v>
      </c>
      <c r="V304" s="550">
        <f t="shared" ref="V304" si="680">W304+X304</f>
        <v>0</v>
      </c>
      <c r="W304" s="551">
        <v>0</v>
      </c>
      <c r="X304" s="551">
        <v>0</v>
      </c>
    </row>
    <row r="305" spans="1:24" s="549" customFormat="1" ht="15.6" customHeight="1">
      <c r="A305" s="954"/>
      <c r="B305" s="973"/>
      <c r="C305" s="956"/>
      <c r="D305" s="979"/>
      <c r="E305" s="954"/>
      <c r="F305" s="982"/>
      <c r="G305" s="973"/>
      <c r="H305" s="548">
        <v>0</v>
      </c>
      <c r="I305" s="548">
        <v>0</v>
      </c>
      <c r="J305" s="958" t="s">
        <v>15</v>
      </c>
      <c r="K305" s="950">
        <f t="shared" ref="K305:X305" si="681">K302+K304</f>
        <v>770002</v>
      </c>
      <c r="L305" s="950">
        <f t="shared" si="681"/>
        <v>770002</v>
      </c>
      <c r="M305" s="951">
        <f t="shared" si="681"/>
        <v>770002</v>
      </c>
      <c r="N305" s="951">
        <f t="shared" si="681"/>
        <v>0</v>
      </c>
      <c r="O305" s="950">
        <f t="shared" si="681"/>
        <v>0</v>
      </c>
      <c r="P305" s="950">
        <f t="shared" si="681"/>
        <v>0</v>
      </c>
      <c r="Q305" s="951">
        <f t="shared" si="681"/>
        <v>0</v>
      </c>
      <c r="R305" s="951">
        <f t="shared" si="681"/>
        <v>0</v>
      </c>
      <c r="S305" s="950">
        <f t="shared" si="681"/>
        <v>0</v>
      </c>
      <c r="T305" s="951">
        <f t="shared" si="681"/>
        <v>0</v>
      </c>
      <c r="U305" s="951">
        <f t="shared" si="681"/>
        <v>0</v>
      </c>
      <c r="V305" s="950">
        <f t="shared" si="681"/>
        <v>0</v>
      </c>
      <c r="W305" s="951">
        <f t="shared" si="681"/>
        <v>0</v>
      </c>
      <c r="X305" s="951">
        <f t="shared" si="681"/>
        <v>0</v>
      </c>
    </row>
    <row r="306" spans="1:24" s="549" customFormat="1" ht="15.6" customHeight="1">
      <c r="A306" s="954"/>
      <c r="B306" s="974"/>
      <c r="C306" s="956"/>
      <c r="D306" s="980"/>
      <c r="E306" s="954"/>
      <c r="F306" s="983"/>
      <c r="G306" s="974"/>
      <c r="H306" s="548">
        <v>0</v>
      </c>
      <c r="I306" s="548">
        <v>0</v>
      </c>
      <c r="J306" s="959"/>
      <c r="K306" s="950"/>
      <c r="L306" s="950"/>
      <c r="M306" s="951"/>
      <c r="N306" s="951"/>
      <c r="O306" s="950"/>
      <c r="P306" s="950"/>
      <c r="Q306" s="951"/>
      <c r="R306" s="951"/>
      <c r="S306" s="950"/>
      <c r="T306" s="951"/>
      <c r="U306" s="951"/>
      <c r="V306" s="950"/>
      <c r="W306" s="951"/>
      <c r="X306" s="951"/>
    </row>
    <row r="307" spans="1:24" s="549" customFormat="1" ht="15.6" hidden="1" customHeight="1">
      <c r="A307" s="954">
        <v>55</v>
      </c>
      <c r="B307" s="972" t="s">
        <v>700</v>
      </c>
      <c r="C307" s="956" t="s">
        <v>1050</v>
      </c>
      <c r="D307" s="978" t="s">
        <v>1051</v>
      </c>
      <c r="E307" s="954" t="s">
        <v>940</v>
      </c>
      <c r="F307" s="981" t="s">
        <v>1052</v>
      </c>
      <c r="G307" s="972" t="s">
        <v>1038</v>
      </c>
      <c r="H307" s="548">
        <f>H308+H309+H310+H311</f>
        <v>1143360</v>
      </c>
      <c r="I307" s="548">
        <f>I308+I309+I310+I311</f>
        <v>0</v>
      </c>
      <c r="J307" s="958" t="s">
        <v>13</v>
      </c>
      <c r="K307" s="950">
        <f t="shared" ref="K307" si="682">L307+O307</f>
        <v>572208</v>
      </c>
      <c r="L307" s="950">
        <f t="shared" ref="L307" si="683">M307+N307</f>
        <v>486377</v>
      </c>
      <c r="M307" s="951">
        <v>486377</v>
      </c>
      <c r="N307" s="951">
        <v>0</v>
      </c>
      <c r="O307" s="950">
        <f t="shared" ref="O307" si="684">P307+S307+V307</f>
        <v>85831</v>
      </c>
      <c r="P307" s="950">
        <f t="shared" ref="P307" si="685">Q307+R307</f>
        <v>28610</v>
      </c>
      <c r="Q307" s="951">
        <v>28610</v>
      </c>
      <c r="R307" s="951">
        <v>0</v>
      </c>
      <c r="S307" s="950">
        <f t="shared" ref="S307" si="686">T307+U307</f>
        <v>57221</v>
      </c>
      <c r="T307" s="951">
        <v>57221</v>
      </c>
      <c r="U307" s="951">
        <v>0</v>
      </c>
      <c r="V307" s="950">
        <f t="shared" ref="V307" si="687">W307+X307</f>
        <v>0</v>
      </c>
      <c r="W307" s="951">
        <v>0</v>
      </c>
      <c r="X307" s="951">
        <v>0</v>
      </c>
    </row>
    <row r="308" spans="1:24" s="549" customFormat="1" ht="15.6" hidden="1" customHeight="1">
      <c r="A308" s="954"/>
      <c r="B308" s="973"/>
      <c r="C308" s="956"/>
      <c r="D308" s="979"/>
      <c r="E308" s="954"/>
      <c r="F308" s="982"/>
      <c r="G308" s="973"/>
      <c r="H308" s="548">
        <v>971856</v>
      </c>
      <c r="I308" s="548">
        <v>0</v>
      </c>
      <c r="J308" s="959"/>
      <c r="K308" s="950"/>
      <c r="L308" s="950"/>
      <c r="M308" s="951"/>
      <c r="N308" s="951"/>
      <c r="O308" s="950"/>
      <c r="P308" s="950"/>
      <c r="Q308" s="951"/>
      <c r="R308" s="951"/>
      <c r="S308" s="950"/>
      <c r="T308" s="951"/>
      <c r="U308" s="951"/>
      <c r="V308" s="950"/>
      <c r="W308" s="951"/>
      <c r="X308" s="951"/>
    </row>
    <row r="309" spans="1:24" s="549" customFormat="1" ht="15.6" hidden="1" customHeight="1">
      <c r="A309" s="954"/>
      <c r="B309" s="973"/>
      <c r="C309" s="956"/>
      <c r="D309" s="979"/>
      <c r="E309" s="954"/>
      <c r="F309" s="982"/>
      <c r="G309" s="973"/>
      <c r="H309" s="548">
        <v>57168</v>
      </c>
      <c r="I309" s="548">
        <v>0</v>
      </c>
      <c r="J309" s="548" t="s">
        <v>14</v>
      </c>
      <c r="K309" s="550">
        <f t="shared" ref="K309" si="688">L309+O309</f>
        <v>0</v>
      </c>
      <c r="L309" s="550">
        <f t="shared" ref="L309" si="689">M309+N309</f>
        <v>0</v>
      </c>
      <c r="M309" s="551">
        <v>0</v>
      </c>
      <c r="N309" s="551">
        <v>0</v>
      </c>
      <c r="O309" s="550">
        <f t="shared" ref="O309" si="690">P309+S309+V309</f>
        <v>0</v>
      </c>
      <c r="P309" s="550">
        <f t="shared" ref="P309" si="691">Q309+R309</f>
        <v>0</v>
      </c>
      <c r="Q309" s="551">
        <v>0</v>
      </c>
      <c r="R309" s="551">
        <v>0</v>
      </c>
      <c r="S309" s="550">
        <f t="shared" ref="S309" si="692">T309+U309</f>
        <v>0</v>
      </c>
      <c r="T309" s="551">
        <v>0</v>
      </c>
      <c r="U309" s="551">
        <v>0</v>
      </c>
      <c r="V309" s="550">
        <f t="shared" ref="V309" si="693">W309+X309</f>
        <v>0</v>
      </c>
      <c r="W309" s="551">
        <v>0</v>
      </c>
      <c r="X309" s="551">
        <v>0</v>
      </c>
    </row>
    <row r="310" spans="1:24" s="549" customFormat="1" ht="15.6" hidden="1" customHeight="1">
      <c r="A310" s="954"/>
      <c r="B310" s="973"/>
      <c r="C310" s="956"/>
      <c r="D310" s="979"/>
      <c r="E310" s="954"/>
      <c r="F310" s="982"/>
      <c r="G310" s="973"/>
      <c r="H310" s="548">
        <v>114336</v>
      </c>
      <c r="I310" s="548">
        <v>0</v>
      </c>
      <c r="J310" s="958" t="s">
        <v>15</v>
      </c>
      <c r="K310" s="950">
        <f t="shared" ref="K310:X310" si="694">K307+K309</f>
        <v>572208</v>
      </c>
      <c r="L310" s="950">
        <f t="shared" si="694"/>
        <v>486377</v>
      </c>
      <c r="M310" s="951">
        <f t="shared" si="694"/>
        <v>486377</v>
      </c>
      <c r="N310" s="951">
        <f t="shared" si="694"/>
        <v>0</v>
      </c>
      <c r="O310" s="950">
        <f t="shared" si="694"/>
        <v>85831</v>
      </c>
      <c r="P310" s="950">
        <f t="shared" si="694"/>
        <v>28610</v>
      </c>
      <c r="Q310" s="951">
        <f t="shared" si="694"/>
        <v>28610</v>
      </c>
      <c r="R310" s="951">
        <f t="shared" si="694"/>
        <v>0</v>
      </c>
      <c r="S310" s="950">
        <f t="shared" si="694"/>
        <v>57221</v>
      </c>
      <c r="T310" s="951">
        <f t="shared" si="694"/>
        <v>57221</v>
      </c>
      <c r="U310" s="951">
        <f t="shared" si="694"/>
        <v>0</v>
      </c>
      <c r="V310" s="950">
        <f t="shared" si="694"/>
        <v>0</v>
      </c>
      <c r="W310" s="951">
        <f t="shared" si="694"/>
        <v>0</v>
      </c>
      <c r="X310" s="951">
        <f t="shared" si="694"/>
        <v>0</v>
      </c>
    </row>
    <row r="311" spans="1:24" s="549" customFormat="1" ht="15.6" hidden="1" customHeight="1">
      <c r="A311" s="954"/>
      <c r="B311" s="974"/>
      <c r="C311" s="956"/>
      <c r="D311" s="980"/>
      <c r="E311" s="954"/>
      <c r="F311" s="983"/>
      <c r="G311" s="974"/>
      <c r="H311" s="548">
        <v>0</v>
      </c>
      <c r="I311" s="548">
        <v>0</v>
      </c>
      <c r="J311" s="959"/>
      <c r="K311" s="950"/>
      <c r="L311" s="950"/>
      <c r="M311" s="951"/>
      <c r="N311" s="951"/>
      <c r="O311" s="950"/>
      <c r="P311" s="950"/>
      <c r="Q311" s="951"/>
      <c r="R311" s="951"/>
      <c r="S311" s="950"/>
      <c r="T311" s="951"/>
      <c r="U311" s="951"/>
      <c r="V311" s="950"/>
      <c r="W311" s="951"/>
      <c r="X311" s="951"/>
    </row>
    <row r="312" spans="1:24" s="549" customFormat="1" ht="15.6" customHeight="1">
      <c r="A312" s="954">
        <v>37</v>
      </c>
      <c r="B312" s="972" t="s">
        <v>700</v>
      </c>
      <c r="C312" s="956" t="s">
        <v>1050</v>
      </c>
      <c r="D312" s="978" t="s">
        <v>1053</v>
      </c>
      <c r="E312" s="954" t="s">
        <v>1228</v>
      </c>
      <c r="F312" s="981" t="s">
        <v>1052</v>
      </c>
      <c r="G312" s="972" t="s">
        <v>944</v>
      </c>
      <c r="H312" s="548">
        <f>H313+H314+H315+H316</f>
        <v>1144706</v>
      </c>
      <c r="I312" s="548">
        <f>I313+I314+I315+I316</f>
        <v>0</v>
      </c>
      <c r="J312" s="958" t="s">
        <v>13</v>
      </c>
      <c r="K312" s="950">
        <f t="shared" ref="K312" si="695">L312+O312</f>
        <v>0</v>
      </c>
      <c r="L312" s="950">
        <f t="shared" ref="L312" si="696">M312+N312</f>
        <v>0</v>
      </c>
      <c r="M312" s="951">
        <v>0</v>
      </c>
      <c r="N312" s="951">
        <v>0</v>
      </c>
      <c r="O312" s="950">
        <f t="shared" ref="O312" si="697">P312+S312+V312</f>
        <v>0</v>
      </c>
      <c r="P312" s="950">
        <f t="shared" ref="P312" si="698">Q312+R312</f>
        <v>0</v>
      </c>
      <c r="Q312" s="951">
        <v>0</v>
      </c>
      <c r="R312" s="951">
        <v>0</v>
      </c>
      <c r="S312" s="950">
        <f t="shared" ref="S312" si="699">T312+U312</f>
        <v>0</v>
      </c>
      <c r="T312" s="951">
        <v>0</v>
      </c>
      <c r="U312" s="951">
        <v>0</v>
      </c>
      <c r="V312" s="950">
        <f t="shared" ref="V312" si="700">W312+X312</f>
        <v>0</v>
      </c>
      <c r="W312" s="951">
        <v>0</v>
      </c>
      <c r="X312" s="951">
        <v>0</v>
      </c>
    </row>
    <row r="313" spans="1:24" s="549" customFormat="1" ht="15.6" customHeight="1">
      <c r="A313" s="954"/>
      <c r="B313" s="973"/>
      <c r="C313" s="956"/>
      <c r="D313" s="979"/>
      <c r="E313" s="954"/>
      <c r="F313" s="982"/>
      <c r="G313" s="973"/>
      <c r="H313" s="548">
        <v>1033817</v>
      </c>
      <c r="I313" s="548">
        <v>0</v>
      </c>
      <c r="J313" s="959"/>
      <c r="K313" s="950"/>
      <c r="L313" s="950"/>
      <c r="M313" s="951"/>
      <c r="N313" s="951"/>
      <c r="O313" s="950"/>
      <c r="P313" s="950"/>
      <c r="Q313" s="951"/>
      <c r="R313" s="951"/>
      <c r="S313" s="950"/>
      <c r="T313" s="951"/>
      <c r="U313" s="951"/>
      <c r="V313" s="950"/>
      <c r="W313" s="951"/>
      <c r="X313" s="951"/>
    </row>
    <row r="314" spans="1:24" s="549" customFormat="1" ht="15.6" customHeight="1">
      <c r="A314" s="954"/>
      <c r="B314" s="973"/>
      <c r="C314" s="956"/>
      <c r="D314" s="979"/>
      <c r="E314" s="954"/>
      <c r="F314" s="982"/>
      <c r="G314" s="973"/>
      <c r="H314" s="548">
        <v>60813</v>
      </c>
      <c r="I314" s="548">
        <v>0</v>
      </c>
      <c r="J314" s="548" t="s">
        <v>14</v>
      </c>
      <c r="K314" s="550">
        <f t="shared" ref="K314" si="701">L314+O314</f>
        <v>203471</v>
      </c>
      <c r="L314" s="550">
        <f t="shared" ref="L314" si="702">M314+N314</f>
        <v>183761</v>
      </c>
      <c r="M314" s="551">
        <v>183761</v>
      </c>
      <c r="N314" s="551">
        <v>0</v>
      </c>
      <c r="O314" s="550">
        <f t="shared" ref="O314" si="703">P314+S314+V314</f>
        <v>19710</v>
      </c>
      <c r="P314" s="550">
        <f t="shared" ref="P314" si="704">Q314+R314</f>
        <v>10809</v>
      </c>
      <c r="Q314" s="551">
        <v>10809</v>
      </c>
      <c r="R314" s="551">
        <v>0</v>
      </c>
      <c r="S314" s="550">
        <f t="shared" ref="S314" si="705">T314+U314</f>
        <v>8901</v>
      </c>
      <c r="T314" s="551">
        <v>8901</v>
      </c>
      <c r="U314" s="551">
        <v>0</v>
      </c>
      <c r="V314" s="550">
        <f t="shared" ref="V314" si="706">W314+X314</f>
        <v>0</v>
      </c>
      <c r="W314" s="551">
        <v>0</v>
      </c>
      <c r="X314" s="551">
        <v>0</v>
      </c>
    </row>
    <row r="315" spans="1:24" s="549" customFormat="1" ht="15.6" customHeight="1">
      <c r="A315" s="954"/>
      <c r="B315" s="973"/>
      <c r="C315" s="956"/>
      <c r="D315" s="979"/>
      <c r="E315" s="954"/>
      <c r="F315" s="982"/>
      <c r="G315" s="973"/>
      <c r="H315" s="548">
        <v>50076</v>
      </c>
      <c r="I315" s="548">
        <v>0</v>
      </c>
      <c r="J315" s="958" t="s">
        <v>15</v>
      </c>
      <c r="K315" s="950">
        <f t="shared" ref="K315:X315" si="707">K312+K314</f>
        <v>203471</v>
      </c>
      <c r="L315" s="950">
        <f t="shared" si="707"/>
        <v>183761</v>
      </c>
      <c r="M315" s="951">
        <f t="shared" si="707"/>
        <v>183761</v>
      </c>
      <c r="N315" s="951">
        <f t="shared" si="707"/>
        <v>0</v>
      </c>
      <c r="O315" s="950">
        <f t="shared" si="707"/>
        <v>19710</v>
      </c>
      <c r="P315" s="950">
        <f t="shared" si="707"/>
        <v>10809</v>
      </c>
      <c r="Q315" s="951">
        <f t="shared" si="707"/>
        <v>10809</v>
      </c>
      <c r="R315" s="951">
        <f t="shared" si="707"/>
        <v>0</v>
      </c>
      <c r="S315" s="950">
        <f t="shared" si="707"/>
        <v>8901</v>
      </c>
      <c r="T315" s="951">
        <f t="shared" si="707"/>
        <v>8901</v>
      </c>
      <c r="U315" s="951">
        <f t="shared" si="707"/>
        <v>0</v>
      </c>
      <c r="V315" s="950">
        <f t="shared" si="707"/>
        <v>0</v>
      </c>
      <c r="W315" s="951">
        <f t="shared" si="707"/>
        <v>0</v>
      </c>
      <c r="X315" s="951">
        <f t="shared" si="707"/>
        <v>0</v>
      </c>
    </row>
    <row r="316" spans="1:24" s="549" customFormat="1" ht="15.6" customHeight="1">
      <c r="A316" s="954"/>
      <c r="B316" s="974"/>
      <c r="C316" s="956"/>
      <c r="D316" s="980"/>
      <c r="E316" s="954"/>
      <c r="F316" s="983"/>
      <c r="G316" s="974"/>
      <c r="H316" s="548">
        <v>0</v>
      </c>
      <c r="I316" s="548">
        <v>0</v>
      </c>
      <c r="J316" s="959"/>
      <c r="K316" s="950"/>
      <c r="L316" s="950"/>
      <c r="M316" s="951"/>
      <c r="N316" s="951"/>
      <c r="O316" s="950"/>
      <c r="P316" s="950"/>
      <c r="Q316" s="951"/>
      <c r="R316" s="951"/>
      <c r="S316" s="950"/>
      <c r="T316" s="951"/>
      <c r="U316" s="951"/>
      <c r="V316" s="950"/>
      <c r="W316" s="951"/>
      <c r="X316" s="951"/>
    </row>
    <row r="317" spans="1:24" s="549" customFormat="1" ht="15.6" customHeight="1">
      <c r="A317" s="954">
        <v>38</v>
      </c>
      <c r="B317" s="972" t="s">
        <v>1054</v>
      </c>
      <c r="C317" s="956" t="s">
        <v>1046</v>
      </c>
      <c r="D317" s="978" t="s">
        <v>1055</v>
      </c>
      <c r="E317" s="954" t="s">
        <v>940</v>
      </c>
      <c r="F317" s="981" t="s">
        <v>1056</v>
      </c>
      <c r="G317" s="972" t="s">
        <v>942</v>
      </c>
      <c r="H317" s="548">
        <f>H318+H319+H320+H321</f>
        <v>19999350</v>
      </c>
      <c r="I317" s="548">
        <f>I318+I319+I320+I321</f>
        <v>14982575</v>
      </c>
      <c r="J317" s="958" t="s">
        <v>13</v>
      </c>
      <c r="K317" s="950">
        <f t="shared" ref="K317" si="708">L317+O317</f>
        <v>1909200</v>
      </c>
      <c r="L317" s="950">
        <f t="shared" ref="L317" si="709">M317+N317</f>
        <v>1622820</v>
      </c>
      <c r="M317" s="951">
        <v>1622820</v>
      </c>
      <c r="N317" s="951">
        <v>0</v>
      </c>
      <c r="O317" s="950">
        <f t="shared" ref="O317" si="710">P317+S317+V317</f>
        <v>286380</v>
      </c>
      <c r="P317" s="950">
        <f t="shared" ref="P317" si="711">Q317+R317</f>
        <v>286380</v>
      </c>
      <c r="Q317" s="951">
        <v>286380</v>
      </c>
      <c r="R317" s="951">
        <v>0</v>
      </c>
      <c r="S317" s="950">
        <f t="shared" ref="S317" si="712">T317+U317</f>
        <v>0</v>
      </c>
      <c r="T317" s="951">
        <v>0</v>
      </c>
      <c r="U317" s="951">
        <v>0</v>
      </c>
      <c r="V317" s="950">
        <f t="shared" ref="V317" si="713">W317+X317</f>
        <v>0</v>
      </c>
      <c r="W317" s="951">
        <v>0</v>
      </c>
      <c r="X317" s="951">
        <v>0</v>
      </c>
    </row>
    <row r="318" spans="1:24" s="549" customFormat="1" ht="15.6" customHeight="1">
      <c r="A318" s="954"/>
      <c r="B318" s="973"/>
      <c r="C318" s="956"/>
      <c r="D318" s="979"/>
      <c r="E318" s="954"/>
      <c r="F318" s="982"/>
      <c r="G318" s="973"/>
      <c r="H318" s="548">
        <v>16999447</v>
      </c>
      <c r="I318" s="548">
        <v>12735189</v>
      </c>
      <c r="J318" s="959"/>
      <c r="K318" s="950"/>
      <c r="L318" s="950"/>
      <c r="M318" s="951"/>
      <c r="N318" s="951"/>
      <c r="O318" s="950"/>
      <c r="P318" s="950"/>
      <c r="Q318" s="951"/>
      <c r="R318" s="951"/>
      <c r="S318" s="950"/>
      <c r="T318" s="951"/>
      <c r="U318" s="951"/>
      <c r="V318" s="950"/>
      <c r="W318" s="951"/>
      <c r="X318" s="951"/>
    </row>
    <row r="319" spans="1:24" s="549" customFormat="1" ht="15.6" customHeight="1">
      <c r="A319" s="954"/>
      <c r="B319" s="973"/>
      <c r="C319" s="956"/>
      <c r="D319" s="979"/>
      <c r="E319" s="954"/>
      <c r="F319" s="982"/>
      <c r="G319" s="973"/>
      <c r="H319" s="548">
        <v>2999903</v>
      </c>
      <c r="I319" s="548">
        <v>2247386</v>
      </c>
      <c r="J319" s="548" t="s">
        <v>14</v>
      </c>
      <c r="K319" s="550">
        <f t="shared" ref="K319" si="714">L319+O319</f>
        <v>10000</v>
      </c>
      <c r="L319" s="550">
        <f t="shared" ref="L319" si="715">M319+N319</f>
        <v>8500</v>
      </c>
      <c r="M319" s="551">
        <v>8500</v>
      </c>
      <c r="N319" s="551">
        <v>0</v>
      </c>
      <c r="O319" s="550">
        <f t="shared" ref="O319" si="716">P319+S319+V319</f>
        <v>1500</v>
      </c>
      <c r="P319" s="550">
        <f t="shared" ref="P319" si="717">Q319+R319</f>
        <v>1500</v>
      </c>
      <c r="Q319" s="551">
        <v>1500</v>
      </c>
      <c r="R319" s="551">
        <v>0</v>
      </c>
      <c r="S319" s="550">
        <f t="shared" ref="S319" si="718">T319+U319</f>
        <v>0</v>
      </c>
      <c r="T319" s="551">
        <v>0</v>
      </c>
      <c r="U319" s="551">
        <v>0</v>
      </c>
      <c r="V319" s="550">
        <f t="shared" ref="V319" si="719">W319+X319</f>
        <v>0</v>
      </c>
      <c r="W319" s="551">
        <v>0</v>
      </c>
      <c r="X319" s="551">
        <v>0</v>
      </c>
    </row>
    <row r="320" spans="1:24" s="549" customFormat="1" ht="15.6" customHeight="1">
      <c r="A320" s="954"/>
      <c r="B320" s="973"/>
      <c r="C320" s="956"/>
      <c r="D320" s="979"/>
      <c r="E320" s="954"/>
      <c r="F320" s="982"/>
      <c r="G320" s="973"/>
      <c r="H320" s="548">
        <v>0</v>
      </c>
      <c r="I320" s="548">
        <v>0</v>
      </c>
      <c r="J320" s="958" t="s">
        <v>15</v>
      </c>
      <c r="K320" s="950">
        <f t="shared" ref="K320:X320" si="720">K317+K319</f>
        <v>1919200</v>
      </c>
      <c r="L320" s="950">
        <f t="shared" si="720"/>
        <v>1631320</v>
      </c>
      <c r="M320" s="951">
        <f t="shared" si="720"/>
        <v>1631320</v>
      </c>
      <c r="N320" s="951">
        <f t="shared" si="720"/>
        <v>0</v>
      </c>
      <c r="O320" s="950">
        <f t="shared" si="720"/>
        <v>287880</v>
      </c>
      <c r="P320" s="950">
        <f t="shared" si="720"/>
        <v>287880</v>
      </c>
      <c r="Q320" s="951">
        <f t="shared" si="720"/>
        <v>287880</v>
      </c>
      <c r="R320" s="951">
        <f t="shared" si="720"/>
        <v>0</v>
      </c>
      <c r="S320" s="950">
        <f t="shared" si="720"/>
        <v>0</v>
      </c>
      <c r="T320" s="951">
        <f t="shared" si="720"/>
        <v>0</v>
      </c>
      <c r="U320" s="951">
        <f t="shared" si="720"/>
        <v>0</v>
      </c>
      <c r="V320" s="950">
        <f t="shared" si="720"/>
        <v>0</v>
      </c>
      <c r="W320" s="951">
        <f t="shared" si="720"/>
        <v>0</v>
      </c>
      <c r="X320" s="951">
        <f t="shared" si="720"/>
        <v>0</v>
      </c>
    </row>
    <row r="321" spans="1:24" s="549" customFormat="1" ht="15.6" customHeight="1">
      <c r="A321" s="954"/>
      <c r="B321" s="974"/>
      <c r="C321" s="956"/>
      <c r="D321" s="980"/>
      <c r="E321" s="954"/>
      <c r="F321" s="983"/>
      <c r="G321" s="974"/>
      <c r="H321" s="548">
        <v>0</v>
      </c>
      <c r="I321" s="548">
        <v>0</v>
      </c>
      <c r="J321" s="959"/>
      <c r="K321" s="950"/>
      <c r="L321" s="950"/>
      <c r="M321" s="951"/>
      <c r="N321" s="951"/>
      <c r="O321" s="950"/>
      <c r="P321" s="950"/>
      <c r="Q321" s="951"/>
      <c r="R321" s="951"/>
      <c r="S321" s="950"/>
      <c r="T321" s="951"/>
      <c r="U321" s="951"/>
      <c r="V321" s="950"/>
      <c r="W321" s="951"/>
      <c r="X321" s="951"/>
    </row>
    <row r="322" spans="1:24" s="549" customFormat="1" ht="17.25" customHeight="1">
      <c r="A322" s="954">
        <v>39</v>
      </c>
      <c r="B322" s="972" t="s">
        <v>1054</v>
      </c>
      <c r="C322" s="956" t="s">
        <v>1046</v>
      </c>
      <c r="D322" s="978" t="s">
        <v>1057</v>
      </c>
      <c r="E322" s="954" t="s">
        <v>940</v>
      </c>
      <c r="F322" s="981" t="s">
        <v>1056</v>
      </c>
      <c r="G322" s="972" t="s">
        <v>975</v>
      </c>
      <c r="H322" s="548">
        <f>H323+H324+H325+H326</f>
        <v>6100050</v>
      </c>
      <c r="I322" s="548">
        <f>I323+I324+I325+I326</f>
        <v>2666554</v>
      </c>
      <c r="J322" s="958" t="s">
        <v>13</v>
      </c>
      <c r="K322" s="950">
        <f t="shared" ref="K322" si="721">L322+O322</f>
        <v>1137400</v>
      </c>
      <c r="L322" s="950">
        <f t="shared" ref="L322" si="722">M322+N322</f>
        <v>966790</v>
      </c>
      <c r="M322" s="951">
        <v>966790</v>
      </c>
      <c r="N322" s="951">
        <v>0</v>
      </c>
      <c r="O322" s="950">
        <f t="shared" ref="O322" si="723">P322+S322+V322</f>
        <v>170610</v>
      </c>
      <c r="P322" s="950">
        <f t="shared" ref="P322" si="724">Q322+R322</f>
        <v>170610</v>
      </c>
      <c r="Q322" s="951">
        <v>170610</v>
      </c>
      <c r="R322" s="951">
        <v>0</v>
      </c>
      <c r="S322" s="950">
        <f t="shared" ref="S322" si="725">T322+U322</f>
        <v>0</v>
      </c>
      <c r="T322" s="951">
        <v>0</v>
      </c>
      <c r="U322" s="951">
        <v>0</v>
      </c>
      <c r="V322" s="950">
        <f t="shared" ref="V322" si="726">W322+X322</f>
        <v>0</v>
      </c>
      <c r="W322" s="951">
        <v>0</v>
      </c>
      <c r="X322" s="951">
        <v>0</v>
      </c>
    </row>
    <row r="323" spans="1:24" s="549" customFormat="1" ht="17.25" customHeight="1">
      <c r="A323" s="954"/>
      <c r="B323" s="973"/>
      <c r="C323" s="956"/>
      <c r="D323" s="979"/>
      <c r="E323" s="954"/>
      <c r="F323" s="982"/>
      <c r="G323" s="973"/>
      <c r="H323" s="548">
        <v>5185043</v>
      </c>
      <c r="I323" s="548">
        <v>2266571</v>
      </c>
      <c r="J323" s="959"/>
      <c r="K323" s="950"/>
      <c r="L323" s="950"/>
      <c r="M323" s="951"/>
      <c r="N323" s="951"/>
      <c r="O323" s="950"/>
      <c r="P323" s="950"/>
      <c r="Q323" s="951"/>
      <c r="R323" s="951"/>
      <c r="S323" s="950"/>
      <c r="T323" s="951"/>
      <c r="U323" s="951"/>
      <c r="V323" s="950"/>
      <c r="W323" s="951"/>
      <c r="X323" s="951"/>
    </row>
    <row r="324" spans="1:24" s="549" customFormat="1" ht="17.25" customHeight="1">
      <c r="A324" s="954"/>
      <c r="B324" s="973"/>
      <c r="C324" s="956"/>
      <c r="D324" s="979"/>
      <c r="E324" s="954"/>
      <c r="F324" s="982"/>
      <c r="G324" s="973"/>
      <c r="H324" s="548">
        <v>915007</v>
      </c>
      <c r="I324" s="548">
        <v>399983</v>
      </c>
      <c r="J324" s="548" t="s">
        <v>14</v>
      </c>
      <c r="K324" s="550">
        <f t="shared" ref="K324" si="727">L324+O324</f>
        <v>0</v>
      </c>
      <c r="L324" s="550">
        <f t="shared" ref="L324" si="728">M324+N324</f>
        <v>0</v>
      </c>
      <c r="M324" s="551">
        <v>0</v>
      </c>
      <c r="N324" s="551">
        <v>0</v>
      </c>
      <c r="O324" s="550">
        <f t="shared" ref="O324" si="729">P324+S324+V324</f>
        <v>0</v>
      </c>
      <c r="P324" s="550">
        <f t="shared" ref="P324" si="730">Q324+R324</f>
        <v>0</v>
      </c>
      <c r="Q324" s="551">
        <v>0</v>
      </c>
      <c r="R324" s="551">
        <v>0</v>
      </c>
      <c r="S324" s="550">
        <f t="shared" ref="S324" si="731">T324+U324</f>
        <v>0</v>
      </c>
      <c r="T324" s="551">
        <v>0</v>
      </c>
      <c r="U324" s="551">
        <v>0</v>
      </c>
      <c r="V324" s="550">
        <f t="shared" ref="V324" si="732">W324+X324</f>
        <v>0</v>
      </c>
      <c r="W324" s="551">
        <v>0</v>
      </c>
      <c r="X324" s="551">
        <v>0</v>
      </c>
    </row>
    <row r="325" spans="1:24" s="549" customFormat="1" ht="17.25" customHeight="1">
      <c r="A325" s="954"/>
      <c r="B325" s="973"/>
      <c r="C325" s="956"/>
      <c r="D325" s="979"/>
      <c r="E325" s="954"/>
      <c r="F325" s="982"/>
      <c r="G325" s="973"/>
      <c r="H325" s="548">
        <v>0</v>
      </c>
      <c r="I325" s="548">
        <v>0</v>
      </c>
      <c r="J325" s="958" t="s">
        <v>15</v>
      </c>
      <c r="K325" s="950">
        <f t="shared" ref="K325:X325" si="733">K322+K324</f>
        <v>1137400</v>
      </c>
      <c r="L325" s="950">
        <f t="shared" si="733"/>
        <v>966790</v>
      </c>
      <c r="M325" s="951">
        <f t="shared" si="733"/>
        <v>966790</v>
      </c>
      <c r="N325" s="951">
        <f t="shared" si="733"/>
        <v>0</v>
      </c>
      <c r="O325" s="950">
        <f t="shared" si="733"/>
        <v>170610</v>
      </c>
      <c r="P325" s="950">
        <f t="shared" si="733"/>
        <v>170610</v>
      </c>
      <c r="Q325" s="951">
        <f t="shared" si="733"/>
        <v>170610</v>
      </c>
      <c r="R325" s="951">
        <f t="shared" si="733"/>
        <v>0</v>
      </c>
      <c r="S325" s="950">
        <f t="shared" si="733"/>
        <v>0</v>
      </c>
      <c r="T325" s="951">
        <f t="shared" si="733"/>
        <v>0</v>
      </c>
      <c r="U325" s="951">
        <f t="shared" si="733"/>
        <v>0</v>
      </c>
      <c r="V325" s="950">
        <f t="shared" si="733"/>
        <v>0</v>
      </c>
      <c r="W325" s="951">
        <f t="shared" si="733"/>
        <v>0</v>
      </c>
      <c r="X325" s="951">
        <f t="shared" si="733"/>
        <v>0</v>
      </c>
    </row>
    <row r="326" spans="1:24" s="549" customFormat="1" ht="17.25" customHeight="1">
      <c r="A326" s="954"/>
      <c r="B326" s="974"/>
      <c r="C326" s="956"/>
      <c r="D326" s="980"/>
      <c r="E326" s="954"/>
      <c r="F326" s="983"/>
      <c r="G326" s="974"/>
      <c r="H326" s="548">
        <v>0</v>
      </c>
      <c r="I326" s="548">
        <v>0</v>
      </c>
      <c r="J326" s="959"/>
      <c r="K326" s="950"/>
      <c r="L326" s="950"/>
      <c r="M326" s="951"/>
      <c r="N326" s="951"/>
      <c r="O326" s="950"/>
      <c r="P326" s="950"/>
      <c r="Q326" s="951"/>
      <c r="R326" s="951"/>
      <c r="S326" s="950"/>
      <c r="T326" s="951"/>
      <c r="U326" s="951"/>
      <c r="V326" s="950"/>
      <c r="W326" s="951"/>
      <c r="X326" s="951"/>
    </row>
    <row r="327" spans="1:24" s="549" customFormat="1" ht="15.75" customHeight="1">
      <c r="A327" s="954">
        <v>40</v>
      </c>
      <c r="B327" s="972" t="s">
        <v>1058</v>
      </c>
      <c r="C327" s="956" t="s">
        <v>1050</v>
      </c>
      <c r="D327" s="978" t="s">
        <v>1059</v>
      </c>
      <c r="E327" s="954" t="s">
        <v>940</v>
      </c>
      <c r="F327" s="981" t="s">
        <v>1056</v>
      </c>
      <c r="G327" s="972" t="s">
        <v>948</v>
      </c>
      <c r="H327" s="548">
        <f>H328+H329+H330+H331</f>
        <v>7914500</v>
      </c>
      <c r="I327" s="548">
        <f>I328+I329+I330+I331</f>
        <v>2999044</v>
      </c>
      <c r="J327" s="958" t="s">
        <v>13</v>
      </c>
      <c r="K327" s="950">
        <f t="shared" ref="K327" si="734">L327+O327</f>
        <v>1537250</v>
      </c>
      <c r="L327" s="950">
        <f t="shared" ref="L327" si="735">M327+N327</f>
        <v>1306662</v>
      </c>
      <c r="M327" s="951">
        <v>1306662</v>
      </c>
      <c r="N327" s="951">
        <v>0</v>
      </c>
      <c r="O327" s="950">
        <f t="shared" ref="O327" si="736">P327+S327+V327</f>
        <v>230588</v>
      </c>
      <c r="P327" s="950">
        <f t="shared" ref="P327" si="737">Q327+R327</f>
        <v>230588</v>
      </c>
      <c r="Q327" s="951">
        <v>230588</v>
      </c>
      <c r="R327" s="951">
        <v>0</v>
      </c>
      <c r="S327" s="950">
        <f t="shared" ref="S327" si="738">T327+U327</f>
        <v>0</v>
      </c>
      <c r="T327" s="951">
        <v>0</v>
      </c>
      <c r="U327" s="951">
        <v>0</v>
      </c>
      <c r="V327" s="950">
        <f t="shared" ref="V327" si="739">W327+X327</f>
        <v>0</v>
      </c>
      <c r="W327" s="951">
        <v>0</v>
      </c>
      <c r="X327" s="951">
        <v>0</v>
      </c>
    </row>
    <row r="328" spans="1:24" s="549" customFormat="1" ht="15.75" customHeight="1">
      <c r="A328" s="954"/>
      <c r="B328" s="973"/>
      <c r="C328" s="956"/>
      <c r="D328" s="979"/>
      <c r="E328" s="954"/>
      <c r="F328" s="982"/>
      <c r="G328" s="973"/>
      <c r="H328" s="548">
        <v>6727325</v>
      </c>
      <c r="I328" s="548">
        <v>2549187</v>
      </c>
      <c r="J328" s="959"/>
      <c r="K328" s="950"/>
      <c r="L328" s="950"/>
      <c r="M328" s="951"/>
      <c r="N328" s="951"/>
      <c r="O328" s="950"/>
      <c r="P328" s="950"/>
      <c r="Q328" s="951"/>
      <c r="R328" s="951"/>
      <c r="S328" s="950"/>
      <c r="T328" s="951"/>
      <c r="U328" s="951"/>
      <c r="V328" s="950"/>
      <c r="W328" s="951"/>
      <c r="X328" s="951"/>
    </row>
    <row r="329" spans="1:24" s="549" customFormat="1" ht="15.75" customHeight="1">
      <c r="A329" s="954"/>
      <c r="B329" s="973"/>
      <c r="C329" s="956"/>
      <c r="D329" s="979"/>
      <c r="E329" s="954"/>
      <c r="F329" s="982"/>
      <c r="G329" s="973"/>
      <c r="H329" s="548">
        <v>1187175</v>
      </c>
      <c r="I329" s="548">
        <v>449857</v>
      </c>
      <c r="J329" s="548" t="s">
        <v>14</v>
      </c>
      <c r="K329" s="550">
        <f t="shared" ref="K329" si="740">L329+O329</f>
        <v>0</v>
      </c>
      <c r="L329" s="550">
        <f t="shared" ref="L329" si="741">M329+N329</f>
        <v>0</v>
      </c>
      <c r="M329" s="551">
        <v>0</v>
      </c>
      <c r="N329" s="551">
        <v>0</v>
      </c>
      <c r="O329" s="550">
        <f t="shared" ref="O329" si="742">P329+S329+V329</f>
        <v>0</v>
      </c>
      <c r="P329" s="550">
        <f t="shared" ref="P329" si="743">Q329+R329</f>
        <v>0</v>
      </c>
      <c r="Q329" s="551">
        <v>0</v>
      </c>
      <c r="R329" s="551">
        <v>0</v>
      </c>
      <c r="S329" s="550">
        <f t="shared" ref="S329" si="744">T329+U329</f>
        <v>0</v>
      </c>
      <c r="T329" s="551">
        <v>0</v>
      </c>
      <c r="U329" s="551">
        <v>0</v>
      </c>
      <c r="V329" s="550">
        <f t="shared" ref="V329" si="745">W329+X329</f>
        <v>0</v>
      </c>
      <c r="W329" s="551">
        <v>0</v>
      </c>
      <c r="X329" s="551">
        <v>0</v>
      </c>
    </row>
    <row r="330" spans="1:24" s="549" customFormat="1" ht="15.75" customHeight="1">
      <c r="A330" s="954"/>
      <c r="B330" s="973"/>
      <c r="C330" s="956"/>
      <c r="D330" s="979"/>
      <c r="E330" s="954"/>
      <c r="F330" s="982"/>
      <c r="G330" s="973"/>
      <c r="H330" s="548">
        <v>0</v>
      </c>
      <c r="I330" s="548">
        <v>0</v>
      </c>
      <c r="J330" s="958" t="s">
        <v>15</v>
      </c>
      <c r="K330" s="950">
        <f t="shared" ref="K330:X330" si="746">K327+K329</f>
        <v>1537250</v>
      </c>
      <c r="L330" s="950">
        <f t="shared" si="746"/>
        <v>1306662</v>
      </c>
      <c r="M330" s="951">
        <f t="shared" si="746"/>
        <v>1306662</v>
      </c>
      <c r="N330" s="951">
        <f t="shared" si="746"/>
        <v>0</v>
      </c>
      <c r="O330" s="950">
        <f t="shared" si="746"/>
        <v>230588</v>
      </c>
      <c r="P330" s="950">
        <f t="shared" si="746"/>
        <v>230588</v>
      </c>
      <c r="Q330" s="951">
        <f t="shared" si="746"/>
        <v>230588</v>
      </c>
      <c r="R330" s="951">
        <f t="shared" si="746"/>
        <v>0</v>
      </c>
      <c r="S330" s="950">
        <f t="shared" si="746"/>
        <v>0</v>
      </c>
      <c r="T330" s="951">
        <f t="shared" si="746"/>
        <v>0</v>
      </c>
      <c r="U330" s="951">
        <f t="shared" si="746"/>
        <v>0</v>
      </c>
      <c r="V330" s="950">
        <f t="shared" si="746"/>
        <v>0</v>
      </c>
      <c r="W330" s="951">
        <f t="shared" si="746"/>
        <v>0</v>
      </c>
      <c r="X330" s="951">
        <f t="shared" si="746"/>
        <v>0</v>
      </c>
    </row>
    <row r="331" spans="1:24" s="549" customFormat="1" ht="15.75" customHeight="1">
      <c r="A331" s="954"/>
      <c r="B331" s="974"/>
      <c r="C331" s="956"/>
      <c r="D331" s="980"/>
      <c r="E331" s="954"/>
      <c r="F331" s="983"/>
      <c r="G331" s="974"/>
      <c r="H331" s="548">
        <v>0</v>
      </c>
      <c r="I331" s="548">
        <v>0</v>
      </c>
      <c r="J331" s="959"/>
      <c r="K331" s="950"/>
      <c r="L331" s="950"/>
      <c r="M331" s="951"/>
      <c r="N331" s="951"/>
      <c r="O331" s="950"/>
      <c r="P331" s="950"/>
      <c r="Q331" s="951"/>
      <c r="R331" s="951"/>
      <c r="S331" s="950"/>
      <c r="T331" s="951"/>
      <c r="U331" s="951"/>
      <c r="V331" s="950"/>
      <c r="W331" s="951"/>
      <c r="X331" s="951"/>
    </row>
    <row r="332" spans="1:24" s="549" customFormat="1" ht="15.75" hidden="1" customHeight="1">
      <c r="A332" s="954">
        <v>59</v>
      </c>
      <c r="B332" s="972" t="s">
        <v>736</v>
      </c>
      <c r="C332" s="956" t="s">
        <v>1060</v>
      </c>
      <c r="D332" s="978" t="s">
        <v>1061</v>
      </c>
      <c r="E332" s="954" t="s">
        <v>940</v>
      </c>
      <c r="F332" s="981" t="s">
        <v>1062</v>
      </c>
      <c r="G332" s="972" t="s">
        <v>988</v>
      </c>
      <c r="H332" s="548">
        <f>H333+H334+H335+H336</f>
        <v>26644347</v>
      </c>
      <c r="I332" s="548">
        <f>I333+I334+I335+I336</f>
        <v>7133201</v>
      </c>
      <c r="J332" s="958" t="s">
        <v>13</v>
      </c>
      <c r="K332" s="950">
        <f t="shared" ref="K332" si="747">L332+O332</f>
        <v>19511146</v>
      </c>
      <c r="L332" s="950">
        <f t="shared" ref="L332" si="748">M332+N332</f>
        <v>18362679</v>
      </c>
      <c r="M332" s="951">
        <v>18362679</v>
      </c>
      <c r="N332" s="951">
        <v>0</v>
      </c>
      <c r="O332" s="950">
        <f t="shared" ref="O332" si="749">P332+S332+V332</f>
        <v>1148467</v>
      </c>
      <c r="P332" s="950">
        <f t="shared" ref="P332" si="750">Q332+R332</f>
        <v>1077287</v>
      </c>
      <c r="Q332" s="951">
        <v>1077287</v>
      </c>
      <c r="R332" s="951">
        <v>0</v>
      </c>
      <c r="S332" s="950">
        <f t="shared" ref="S332" si="751">T332+U332</f>
        <v>71180</v>
      </c>
      <c r="T332" s="951">
        <v>71180</v>
      </c>
      <c r="U332" s="951">
        <v>0</v>
      </c>
      <c r="V332" s="950">
        <f t="shared" ref="V332" si="752">W332+X332</f>
        <v>0</v>
      </c>
      <c r="W332" s="951">
        <v>0</v>
      </c>
      <c r="X332" s="951">
        <v>0</v>
      </c>
    </row>
    <row r="333" spans="1:24" s="549" customFormat="1" ht="15.75" hidden="1" customHeight="1">
      <c r="A333" s="954"/>
      <c r="B333" s="973"/>
      <c r="C333" s="956"/>
      <c r="D333" s="979"/>
      <c r="E333" s="954"/>
      <c r="F333" s="982"/>
      <c r="G333" s="973"/>
      <c r="H333" s="548">
        <v>24793944</v>
      </c>
      <c r="I333" s="548">
        <v>6431265</v>
      </c>
      <c r="J333" s="959"/>
      <c r="K333" s="950"/>
      <c r="L333" s="950"/>
      <c r="M333" s="951"/>
      <c r="N333" s="951"/>
      <c r="O333" s="950"/>
      <c r="P333" s="950"/>
      <c r="Q333" s="951"/>
      <c r="R333" s="951"/>
      <c r="S333" s="950"/>
      <c r="T333" s="951"/>
      <c r="U333" s="951"/>
      <c r="V333" s="950"/>
      <c r="W333" s="951"/>
      <c r="X333" s="951"/>
    </row>
    <row r="334" spans="1:24" s="549" customFormat="1" ht="15.75" hidden="1" customHeight="1">
      <c r="A334" s="954"/>
      <c r="B334" s="973"/>
      <c r="C334" s="956"/>
      <c r="D334" s="979"/>
      <c r="E334" s="954"/>
      <c r="F334" s="982"/>
      <c r="G334" s="973"/>
      <c r="H334" s="548">
        <v>1458468</v>
      </c>
      <c r="I334" s="548">
        <v>381181</v>
      </c>
      <c r="J334" s="548" t="s">
        <v>14</v>
      </c>
      <c r="K334" s="550">
        <f t="shared" ref="K334" si="753">L334+O334</f>
        <v>0</v>
      </c>
      <c r="L334" s="550">
        <f t="shared" ref="L334" si="754">M334+N334</f>
        <v>0</v>
      </c>
      <c r="M334" s="551">
        <v>0</v>
      </c>
      <c r="N334" s="551">
        <v>0</v>
      </c>
      <c r="O334" s="550">
        <f t="shared" ref="O334" si="755">P334+S334+V334</f>
        <v>0</v>
      </c>
      <c r="P334" s="550">
        <f t="shared" ref="P334" si="756">Q334+R334</f>
        <v>0</v>
      </c>
      <c r="Q334" s="551">
        <v>0</v>
      </c>
      <c r="R334" s="551">
        <v>0</v>
      </c>
      <c r="S334" s="550">
        <f t="shared" ref="S334" si="757">T334+U334</f>
        <v>0</v>
      </c>
      <c r="T334" s="551">
        <v>0</v>
      </c>
      <c r="U334" s="551">
        <v>0</v>
      </c>
      <c r="V334" s="550">
        <f t="shared" ref="V334" si="758">W334+X334</f>
        <v>0</v>
      </c>
      <c r="W334" s="551">
        <v>0</v>
      </c>
      <c r="X334" s="551">
        <v>0</v>
      </c>
    </row>
    <row r="335" spans="1:24" s="549" customFormat="1" ht="15.75" hidden="1" customHeight="1">
      <c r="A335" s="954"/>
      <c r="B335" s="973"/>
      <c r="C335" s="956"/>
      <c r="D335" s="979"/>
      <c r="E335" s="954"/>
      <c r="F335" s="982"/>
      <c r="G335" s="973"/>
      <c r="H335" s="548">
        <v>391935</v>
      </c>
      <c r="I335" s="548">
        <v>320755</v>
      </c>
      <c r="J335" s="958" t="s">
        <v>15</v>
      </c>
      <c r="K335" s="950">
        <f t="shared" ref="K335:X335" si="759">K332+K334</f>
        <v>19511146</v>
      </c>
      <c r="L335" s="950">
        <f t="shared" si="759"/>
        <v>18362679</v>
      </c>
      <c r="M335" s="951">
        <f t="shared" si="759"/>
        <v>18362679</v>
      </c>
      <c r="N335" s="951">
        <f t="shared" si="759"/>
        <v>0</v>
      </c>
      <c r="O335" s="950">
        <f t="shared" si="759"/>
        <v>1148467</v>
      </c>
      <c r="P335" s="950">
        <f t="shared" si="759"/>
        <v>1077287</v>
      </c>
      <c r="Q335" s="951">
        <f t="shared" si="759"/>
        <v>1077287</v>
      </c>
      <c r="R335" s="951">
        <f t="shared" si="759"/>
        <v>0</v>
      </c>
      <c r="S335" s="950">
        <f t="shared" si="759"/>
        <v>71180</v>
      </c>
      <c r="T335" s="951">
        <f t="shared" si="759"/>
        <v>71180</v>
      </c>
      <c r="U335" s="951">
        <f t="shared" si="759"/>
        <v>0</v>
      </c>
      <c r="V335" s="950">
        <f t="shared" si="759"/>
        <v>0</v>
      </c>
      <c r="W335" s="951">
        <f t="shared" si="759"/>
        <v>0</v>
      </c>
      <c r="X335" s="951">
        <f t="shared" si="759"/>
        <v>0</v>
      </c>
    </row>
    <row r="336" spans="1:24" s="549" customFormat="1" ht="15.75" hidden="1" customHeight="1">
      <c r="A336" s="954"/>
      <c r="B336" s="974"/>
      <c r="C336" s="956"/>
      <c r="D336" s="980"/>
      <c r="E336" s="954"/>
      <c r="F336" s="983"/>
      <c r="G336" s="974"/>
      <c r="H336" s="548">
        <v>0</v>
      </c>
      <c r="I336" s="548">
        <v>0</v>
      </c>
      <c r="J336" s="959"/>
      <c r="K336" s="950"/>
      <c r="L336" s="950"/>
      <c r="M336" s="951"/>
      <c r="N336" s="951"/>
      <c r="O336" s="950"/>
      <c r="P336" s="950"/>
      <c r="Q336" s="951"/>
      <c r="R336" s="951"/>
      <c r="S336" s="950"/>
      <c r="T336" s="951"/>
      <c r="U336" s="951"/>
      <c r="V336" s="950"/>
      <c r="W336" s="951"/>
      <c r="X336" s="951"/>
    </row>
    <row r="337" spans="1:25" s="554" customFormat="1" ht="14.1" customHeight="1">
      <c r="A337" s="968" t="s">
        <v>1063</v>
      </c>
      <c r="B337" s="968"/>
      <c r="C337" s="968"/>
      <c r="D337" s="968"/>
      <c r="E337" s="968"/>
      <c r="F337" s="968"/>
      <c r="G337" s="968"/>
      <c r="H337" s="553">
        <f>H17+H22+H27+H32+H37+H47+H52+H57+H62+H67+H72+H77+H82+H87+H92+H97+H102+H107+H127+H132+H137+H142+H147+H152+H157+H162+H167+H177+H192+H197+H202+H207+H212+H217+H222+H227+H232+H237+H242+H247+H252+H267+H272+H277+H287+H292+H297+H302+H307+H317+H322+H327+H332+H172+H282+H257+H182+H112+H117+H42+H262+H312+H187+H122</f>
        <v>1385925830</v>
      </c>
      <c r="I337" s="553">
        <f>I17+I22+I27+I32+I37+I47+I52+I57+I62+I67+I72+I77+I82+I87+I92+I97+I102+I107+I127+I132+I137+I142+I147+I152+I157+I162+I167+I177+I192+I197+I202+I207+I212+I217+I222+I227+I232+I237+I242+I247+I252+I267+I272+I277+I287+I292+I297+I302+I307+I317+I322+I327+I332+I172+I282+I257+I182+I112+I117+I42+I262+I312+I187+I122</f>
        <v>447964756</v>
      </c>
      <c r="J337" s="1001" t="s">
        <v>13</v>
      </c>
      <c r="K337" s="1003">
        <f>K17+K22+K27+K37+K47+K52+K57+K62+K67+K72+K77+K82+K87+K92+K97+K102+K107+K112+K117+K127+K132+K137+K142+K147+K152+K157+K162+K167+K172+K177+K182+K192+K197+K202+K207+K212+K217+K222+K227+K232+K237+K242+K247+K252+K257+K267+K272+K277+K282+K287+K292+K297+K302+K307+K317+K322+K327+K332+K32+K42+K262+K312+K187+K122</f>
        <v>484972359</v>
      </c>
      <c r="L337" s="1003">
        <f t="shared" ref="L337:X337" si="760">L17+L22+L27+L37+L47+L52+L57+L62+L67+L72+L77+L82+L87+L92+L97+L102+L107+L112+L117+L127+L132+L137+L142+L147+L152+L157+L162+L167+L172+L177+L182+L192+L197+L202+L207+L212+L217+L222+L227+L232+L237+L242+L247+L252+L257+L267+L272+L277+L282+L287+L292+L297+L302+L307+L317+L322+L327+L332+L32+L42+L262+L312+L187+L122</f>
        <v>408051106</v>
      </c>
      <c r="M337" s="1003">
        <f t="shared" si="760"/>
        <v>113231540</v>
      </c>
      <c r="N337" s="1003">
        <f t="shared" si="760"/>
        <v>294819566</v>
      </c>
      <c r="O337" s="1003">
        <f t="shared" si="760"/>
        <v>76921253</v>
      </c>
      <c r="P337" s="1003">
        <f t="shared" si="760"/>
        <v>16319575</v>
      </c>
      <c r="Q337" s="1003">
        <f t="shared" si="760"/>
        <v>8743873</v>
      </c>
      <c r="R337" s="1003">
        <f t="shared" si="760"/>
        <v>7575702</v>
      </c>
      <c r="S337" s="1003">
        <f t="shared" si="760"/>
        <v>46112707</v>
      </c>
      <c r="T337" s="1003">
        <f t="shared" si="760"/>
        <v>3347635</v>
      </c>
      <c r="U337" s="1003">
        <f t="shared" si="760"/>
        <v>42765072</v>
      </c>
      <c r="V337" s="1003">
        <f t="shared" si="760"/>
        <v>14488971</v>
      </c>
      <c r="W337" s="1003">
        <f t="shared" si="760"/>
        <v>967776</v>
      </c>
      <c r="X337" s="1003">
        <f t="shared" si="760"/>
        <v>13521195</v>
      </c>
    </row>
    <row r="338" spans="1:25" s="554" customFormat="1" ht="14.1" customHeight="1">
      <c r="A338" s="968"/>
      <c r="B338" s="968"/>
      <c r="C338" s="968"/>
      <c r="D338" s="968"/>
      <c r="E338" s="968"/>
      <c r="F338" s="968"/>
      <c r="G338" s="968"/>
      <c r="H338" s="553">
        <f t="shared" ref="H338:I341" si="761">H18+H23+H28+H33+H38+H48+H53+H58+H63+H68+H73+H78+H83+H88+H93+H98+H103+H108+H128+H133+H138+H143+H148+H153+H158+H163+H168+H178+H193+H198+H203+H208+H213+H218+H223+H228+H233+H238+H243+H248+H253+H268+H273+H278+H288+H293+H298+H303+H308+H318+H323+H328+H333+H173+H283+H258+H183+H113+H118+H43+H263+H313+H188+H123</f>
        <v>1152829834</v>
      </c>
      <c r="I338" s="553">
        <f t="shared" si="761"/>
        <v>362563373</v>
      </c>
      <c r="J338" s="1002"/>
      <c r="K338" s="1003"/>
      <c r="L338" s="1003"/>
      <c r="M338" s="1003"/>
      <c r="N338" s="1003"/>
      <c r="O338" s="1003"/>
      <c r="P338" s="1003"/>
      <c r="Q338" s="1003"/>
      <c r="R338" s="1003"/>
      <c r="S338" s="1003"/>
      <c r="T338" s="1003"/>
      <c r="U338" s="1003"/>
      <c r="V338" s="1003"/>
      <c r="W338" s="1003"/>
      <c r="X338" s="1003"/>
    </row>
    <row r="339" spans="1:25" s="554" customFormat="1" ht="14.1" customHeight="1">
      <c r="A339" s="968"/>
      <c r="B339" s="968"/>
      <c r="C339" s="968"/>
      <c r="D339" s="968"/>
      <c r="E339" s="968"/>
      <c r="F339" s="968"/>
      <c r="G339" s="968"/>
      <c r="H339" s="553">
        <f t="shared" si="761"/>
        <v>51341085</v>
      </c>
      <c r="I339" s="553">
        <f t="shared" si="761"/>
        <v>15300156</v>
      </c>
      <c r="J339" s="555" t="s">
        <v>14</v>
      </c>
      <c r="K339" s="556">
        <f>K19+K24+K29+K34+K39+K49+K54+K59+K64+K69+K74+K79+K84+K89+K94+K99+K104+K109+K114+K119+K129+K134+K139+K144+K149+K154+K159+K164+K169+K174+K179+K184+K194+K199+K204+K209+K214+K219+K224+K229+K234+K239+K244+K249+K254+K259+K269+K274+K279+K284+K289+K294+K299+K304+K309+K319+K324+K329+K334+K44+K264+K314+K189+K124</f>
        <v>91823498</v>
      </c>
      <c r="L339" s="556">
        <f t="shared" ref="L339:X339" si="762">L19+L24+L29+L34+L39+L49+L54+L59+L64+L69+L74+L79+L84+L89+L94+L99+L104+L109+L114+L119+L129+L134+L139+L144+L149+L154+L159+L164+L169+L174+L179+L184+L194+L199+L204+L209+L214+L219+L224+L229+L234+L239+L244+L249+L254+L259+L269+L274+L279+L284+L289+L294+L299+L304+L309+L319+L324+L329+L334+L44+L264+L314+L189+L124</f>
        <v>82962119</v>
      </c>
      <c r="M339" s="556">
        <f t="shared" si="762"/>
        <v>21404443</v>
      </c>
      <c r="N339" s="556">
        <f t="shared" si="762"/>
        <v>61557676</v>
      </c>
      <c r="O339" s="556">
        <f t="shared" si="762"/>
        <v>8861379</v>
      </c>
      <c r="P339" s="556">
        <f t="shared" si="762"/>
        <v>4786906</v>
      </c>
      <c r="Q339" s="556">
        <f t="shared" si="762"/>
        <v>2141028</v>
      </c>
      <c r="R339" s="556">
        <f t="shared" si="762"/>
        <v>2645878</v>
      </c>
      <c r="S339" s="556">
        <f t="shared" si="762"/>
        <v>3463935</v>
      </c>
      <c r="T339" s="556">
        <f t="shared" si="762"/>
        <v>444784</v>
      </c>
      <c r="U339" s="556">
        <f t="shared" si="762"/>
        <v>3019151</v>
      </c>
      <c r="V339" s="556">
        <f t="shared" si="762"/>
        <v>610538</v>
      </c>
      <c r="W339" s="556">
        <f t="shared" si="762"/>
        <v>183921</v>
      </c>
      <c r="X339" s="556">
        <f t="shared" si="762"/>
        <v>426617</v>
      </c>
    </row>
    <row r="340" spans="1:25" s="554" customFormat="1" ht="14.1" customHeight="1">
      <c r="A340" s="968"/>
      <c r="B340" s="968"/>
      <c r="C340" s="968"/>
      <c r="D340" s="968"/>
      <c r="E340" s="968"/>
      <c r="F340" s="968"/>
      <c r="G340" s="968"/>
      <c r="H340" s="553">
        <f t="shared" si="761"/>
        <v>161023612</v>
      </c>
      <c r="I340" s="553">
        <f t="shared" si="761"/>
        <v>65401333</v>
      </c>
      <c r="J340" s="1001" t="s">
        <v>15</v>
      </c>
      <c r="K340" s="1003">
        <f>K337+K339</f>
        <v>576795857</v>
      </c>
      <c r="L340" s="1003">
        <f t="shared" ref="L340:X340" si="763">L337+L339</f>
        <v>491013225</v>
      </c>
      <c r="M340" s="1003">
        <f t="shared" si="763"/>
        <v>134635983</v>
      </c>
      <c r="N340" s="1003">
        <f t="shared" si="763"/>
        <v>356377242</v>
      </c>
      <c r="O340" s="1003">
        <f t="shared" si="763"/>
        <v>85782632</v>
      </c>
      <c r="P340" s="1003">
        <f t="shared" si="763"/>
        <v>21106481</v>
      </c>
      <c r="Q340" s="1003">
        <f t="shared" si="763"/>
        <v>10884901</v>
      </c>
      <c r="R340" s="1003">
        <f t="shared" si="763"/>
        <v>10221580</v>
      </c>
      <c r="S340" s="1003">
        <f t="shared" si="763"/>
        <v>49576642</v>
      </c>
      <c r="T340" s="1003">
        <f t="shared" si="763"/>
        <v>3792419</v>
      </c>
      <c r="U340" s="1003">
        <f t="shared" si="763"/>
        <v>45784223</v>
      </c>
      <c r="V340" s="1003">
        <f t="shared" si="763"/>
        <v>15099509</v>
      </c>
      <c r="W340" s="1003">
        <f t="shared" si="763"/>
        <v>1151697</v>
      </c>
      <c r="X340" s="1003">
        <f t="shared" si="763"/>
        <v>13947812</v>
      </c>
    </row>
    <row r="341" spans="1:25" s="554" customFormat="1" ht="14.1" customHeight="1">
      <c r="A341" s="968"/>
      <c r="B341" s="968"/>
      <c r="C341" s="968"/>
      <c r="D341" s="968"/>
      <c r="E341" s="968"/>
      <c r="F341" s="968"/>
      <c r="G341" s="968"/>
      <c r="H341" s="553">
        <f t="shared" si="761"/>
        <v>20731299</v>
      </c>
      <c r="I341" s="553">
        <f t="shared" si="761"/>
        <v>4699894</v>
      </c>
      <c r="J341" s="1002"/>
      <c r="K341" s="1003"/>
      <c r="L341" s="1003"/>
      <c r="M341" s="1003"/>
      <c r="N341" s="1003"/>
      <c r="O341" s="1003"/>
      <c r="P341" s="1003"/>
      <c r="Q341" s="1003"/>
      <c r="R341" s="1003"/>
      <c r="S341" s="1003"/>
      <c r="T341" s="1003"/>
      <c r="U341" s="1003"/>
      <c r="V341" s="1003"/>
      <c r="W341" s="1003"/>
      <c r="X341" s="1003"/>
    </row>
    <row r="342" spans="1:25" ht="6" customHeight="1">
      <c r="A342" s="557"/>
      <c r="B342" s="558"/>
      <c r="C342" s="558"/>
      <c r="D342" s="558"/>
      <c r="E342" s="558"/>
      <c r="F342" s="558"/>
      <c r="G342" s="558"/>
      <c r="H342" s="558"/>
      <c r="I342" s="558"/>
      <c r="J342" s="558"/>
      <c r="K342" s="558"/>
      <c r="L342" s="558"/>
      <c r="M342" s="558"/>
      <c r="N342" s="558"/>
      <c r="O342" s="558"/>
      <c r="P342" s="558"/>
      <c r="Q342" s="558"/>
      <c r="R342" s="558"/>
      <c r="S342" s="558"/>
      <c r="T342" s="558"/>
      <c r="U342" s="558"/>
      <c r="V342" s="558"/>
      <c r="W342" s="558"/>
      <c r="X342" s="559"/>
    </row>
    <row r="343" spans="1:25" s="545" customFormat="1" ht="24" customHeight="1">
      <c r="A343" s="1004" t="s">
        <v>1064</v>
      </c>
      <c r="B343" s="1005"/>
      <c r="C343" s="1005"/>
      <c r="D343" s="1005"/>
      <c r="E343" s="1005"/>
      <c r="F343" s="1005"/>
      <c r="G343" s="1005"/>
      <c r="H343" s="1005"/>
      <c r="I343" s="1005"/>
      <c r="J343" s="1005"/>
      <c r="K343" s="1005"/>
      <c r="L343" s="1005"/>
      <c r="M343" s="1005"/>
      <c r="N343" s="1005"/>
      <c r="O343" s="1005"/>
      <c r="P343" s="1005"/>
      <c r="Q343" s="1005"/>
      <c r="R343" s="1005"/>
      <c r="S343" s="1005"/>
      <c r="T343" s="1005"/>
      <c r="U343" s="1005"/>
      <c r="V343" s="1005"/>
      <c r="W343" s="1005"/>
      <c r="X343" s="1006"/>
      <c r="Y343" s="546"/>
    </row>
    <row r="344" spans="1:25" ht="4.5" customHeight="1">
      <c r="A344" s="1007"/>
      <c r="B344" s="1007"/>
      <c r="C344" s="1007"/>
      <c r="D344" s="1007"/>
      <c r="E344" s="1007"/>
      <c r="F344" s="1007"/>
      <c r="G344" s="1007"/>
      <c r="H344" s="1007"/>
      <c r="I344" s="1007"/>
      <c r="J344" s="1007"/>
      <c r="K344" s="1007"/>
      <c r="L344" s="1007"/>
      <c r="M344" s="1007"/>
      <c r="N344" s="1007"/>
      <c r="O344" s="1007"/>
      <c r="P344" s="1007"/>
      <c r="Q344" s="1007"/>
      <c r="R344" s="1007"/>
      <c r="S344" s="1007"/>
      <c r="T344" s="1007"/>
      <c r="U344" s="1007"/>
      <c r="V344" s="1007"/>
      <c r="W344" s="1007"/>
      <c r="X344" s="1007"/>
    </row>
    <row r="345" spans="1:25" ht="15.6" customHeight="1">
      <c r="A345" s="955">
        <v>1</v>
      </c>
      <c r="B345" s="989" t="s">
        <v>1065</v>
      </c>
      <c r="C345" s="955" t="s">
        <v>1066</v>
      </c>
      <c r="D345" s="990" t="s">
        <v>1067</v>
      </c>
      <c r="E345" s="954" t="s">
        <v>940</v>
      </c>
      <c r="F345" s="954" t="s">
        <v>1068</v>
      </c>
      <c r="G345" s="954" t="s">
        <v>945</v>
      </c>
      <c r="H345" s="548">
        <f>H346+H348+H347+H349</f>
        <v>205699682</v>
      </c>
      <c r="I345" s="548">
        <f>I346+I348+I347+I349</f>
        <v>106442024</v>
      </c>
      <c r="J345" s="958" t="s">
        <v>13</v>
      </c>
      <c r="K345" s="950">
        <f t="shared" ref="K345" si="764">L345+O345</f>
        <v>50308000</v>
      </c>
      <c r="L345" s="950">
        <f t="shared" ref="L345" si="765">M345+N345</f>
        <v>42761800</v>
      </c>
      <c r="M345" s="951">
        <v>42608800</v>
      </c>
      <c r="N345" s="951">
        <v>153000</v>
      </c>
      <c r="O345" s="950">
        <f t="shared" ref="O345" si="766">P345+S345+V345</f>
        <v>7546200</v>
      </c>
      <c r="P345" s="950">
        <f t="shared" ref="P345" si="767">Q345+R345</f>
        <v>0</v>
      </c>
      <c r="Q345" s="951">
        <v>0</v>
      </c>
      <c r="R345" s="951">
        <v>0</v>
      </c>
      <c r="S345" s="950">
        <f t="shared" ref="S345" si="768">T345+U345</f>
        <v>7546200</v>
      </c>
      <c r="T345" s="951">
        <v>7519200</v>
      </c>
      <c r="U345" s="951">
        <v>27000</v>
      </c>
      <c r="V345" s="950">
        <f t="shared" ref="V345" si="769">W345+X345</f>
        <v>0</v>
      </c>
      <c r="W345" s="951">
        <v>0</v>
      </c>
      <c r="X345" s="951">
        <v>0</v>
      </c>
    </row>
    <row r="346" spans="1:25" ht="15.6" customHeight="1">
      <c r="A346" s="955"/>
      <c r="B346" s="989"/>
      <c r="C346" s="955"/>
      <c r="D346" s="990"/>
      <c r="E346" s="954"/>
      <c r="F346" s="954"/>
      <c r="G346" s="954"/>
      <c r="H346" s="548">
        <v>174844729</v>
      </c>
      <c r="I346" s="548">
        <v>90475720</v>
      </c>
      <c r="J346" s="959"/>
      <c r="K346" s="950"/>
      <c r="L346" s="950"/>
      <c r="M346" s="951"/>
      <c r="N346" s="951"/>
      <c r="O346" s="950"/>
      <c r="P346" s="950"/>
      <c r="Q346" s="951"/>
      <c r="R346" s="951"/>
      <c r="S346" s="950"/>
      <c r="T346" s="951"/>
      <c r="U346" s="951"/>
      <c r="V346" s="950"/>
      <c r="W346" s="951"/>
      <c r="X346" s="951"/>
    </row>
    <row r="347" spans="1:25" ht="15.6" customHeight="1">
      <c r="A347" s="955"/>
      <c r="B347" s="989"/>
      <c r="C347" s="955"/>
      <c r="D347" s="990"/>
      <c r="E347" s="954"/>
      <c r="F347" s="954"/>
      <c r="G347" s="954"/>
      <c r="H347" s="548">
        <v>0</v>
      </c>
      <c r="I347" s="548">
        <v>0</v>
      </c>
      <c r="J347" s="548" t="s">
        <v>14</v>
      </c>
      <c r="K347" s="550">
        <f t="shared" ref="K347" si="770">L347+O347</f>
        <v>-153000</v>
      </c>
      <c r="L347" s="550">
        <f t="shared" ref="L347" si="771">M347+N347</f>
        <v>-130050</v>
      </c>
      <c r="M347" s="551">
        <v>-130050</v>
      </c>
      <c r="N347" s="551">
        <v>0</v>
      </c>
      <c r="O347" s="550">
        <f t="shared" ref="O347" si="772">P347+S347+V347</f>
        <v>-22950</v>
      </c>
      <c r="P347" s="550">
        <f t="shared" ref="P347" si="773">Q347+R347</f>
        <v>0</v>
      </c>
      <c r="Q347" s="551">
        <v>0</v>
      </c>
      <c r="R347" s="551">
        <v>0</v>
      </c>
      <c r="S347" s="550">
        <f t="shared" ref="S347" si="774">T347+U347</f>
        <v>-22950</v>
      </c>
      <c r="T347" s="551">
        <v>-22950</v>
      </c>
      <c r="U347" s="551">
        <v>0</v>
      </c>
      <c r="V347" s="550">
        <f t="shared" ref="V347" si="775">W347+X347</f>
        <v>0</v>
      </c>
      <c r="W347" s="551">
        <v>0</v>
      </c>
      <c r="X347" s="551">
        <v>0</v>
      </c>
    </row>
    <row r="348" spans="1:25" ht="15.6" customHeight="1">
      <c r="A348" s="955"/>
      <c r="B348" s="989"/>
      <c r="C348" s="955"/>
      <c r="D348" s="990"/>
      <c r="E348" s="954"/>
      <c r="F348" s="954"/>
      <c r="G348" s="954"/>
      <c r="H348" s="548">
        <v>30854953</v>
      </c>
      <c r="I348" s="548">
        <v>15966304</v>
      </c>
      <c r="J348" s="958" t="s">
        <v>15</v>
      </c>
      <c r="K348" s="950">
        <f t="shared" ref="K348:X348" si="776">K345+K347</f>
        <v>50155000</v>
      </c>
      <c r="L348" s="950">
        <f t="shared" si="776"/>
        <v>42631750</v>
      </c>
      <c r="M348" s="951">
        <f t="shared" si="776"/>
        <v>42478750</v>
      </c>
      <c r="N348" s="951">
        <f t="shared" si="776"/>
        <v>153000</v>
      </c>
      <c r="O348" s="950">
        <f t="shared" si="776"/>
        <v>7523250</v>
      </c>
      <c r="P348" s="950">
        <f t="shared" si="776"/>
        <v>0</v>
      </c>
      <c r="Q348" s="951">
        <f t="shared" si="776"/>
        <v>0</v>
      </c>
      <c r="R348" s="951">
        <f t="shared" si="776"/>
        <v>0</v>
      </c>
      <c r="S348" s="950">
        <f t="shared" si="776"/>
        <v>7523250</v>
      </c>
      <c r="T348" s="951">
        <f t="shared" si="776"/>
        <v>7496250</v>
      </c>
      <c r="U348" s="951">
        <f t="shared" si="776"/>
        <v>27000</v>
      </c>
      <c r="V348" s="950">
        <f t="shared" si="776"/>
        <v>0</v>
      </c>
      <c r="W348" s="951">
        <f t="shared" si="776"/>
        <v>0</v>
      </c>
      <c r="X348" s="951">
        <f t="shared" si="776"/>
        <v>0</v>
      </c>
    </row>
    <row r="349" spans="1:25" ht="15.6" customHeight="1">
      <c r="A349" s="955"/>
      <c r="B349" s="989"/>
      <c r="C349" s="955"/>
      <c r="D349" s="990"/>
      <c r="E349" s="954"/>
      <c r="F349" s="954"/>
      <c r="G349" s="954"/>
      <c r="H349" s="548">
        <v>0</v>
      </c>
      <c r="I349" s="548">
        <v>0</v>
      </c>
      <c r="J349" s="959"/>
      <c r="K349" s="950"/>
      <c r="L349" s="950"/>
      <c r="M349" s="951"/>
      <c r="N349" s="951"/>
      <c r="O349" s="950"/>
      <c r="P349" s="950"/>
      <c r="Q349" s="951"/>
      <c r="R349" s="951"/>
      <c r="S349" s="950"/>
      <c r="T349" s="951"/>
      <c r="U349" s="951"/>
      <c r="V349" s="950"/>
      <c r="W349" s="951"/>
      <c r="X349" s="951"/>
    </row>
    <row r="350" spans="1:25" ht="15.6" customHeight="1">
      <c r="A350" s="955">
        <v>2</v>
      </c>
      <c r="B350" s="989" t="s">
        <v>1065</v>
      </c>
      <c r="C350" s="955" t="s">
        <v>1066</v>
      </c>
      <c r="D350" s="990" t="s">
        <v>1067</v>
      </c>
      <c r="E350" s="981" t="s">
        <v>1026</v>
      </c>
      <c r="F350" s="981" t="s">
        <v>1027</v>
      </c>
      <c r="G350" s="954" t="s">
        <v>945</v>
      </c>
      <c r="H350" s="548">
        <f>H351+H353+H352+H354</f>
        <v>9747545</v>
      </c>
      <c r="I350" s="548">
        <f>I351+I353+I352+I354</f>
        <v>5401389</v>
      </c>
      <c r="J350" s="958" t="s">
        <v>13</v>
      </c>
      <c r="K350" s="950">
        <f t="shared" ref="K350" si="777">L350+O350</f>
        <v>1977578</v>
      </c>
      <c r="L350" s="950">
        <f t="shared" ref="L350" si="778">M350+N350</f>
        <v>1680944</v>
      </c>
      <c r="M350" s="951">
        <v>1680944</v>
      </c>
      <c r="N350" s="951">
        <v>0</v>
      </c>
      <c r="O350" s="950">
        <f t="shared" ref="O350" si="779">P350+S350+V350</f>
        <v>296634</v>
      </c>
      <c r="P350" s="950">
        <f t="shared" ref="P350" si="780">Q350+R350</f>
        <v>0</v>
      </c>
      <c r="Q350" s="951">
        <v>0</v>
      </c>
      <c r="R350" s="951">
        <v>0</v>
      </c>
      <c r="S350" s="950">
        <f t="shared" ref="S350" si="781">T350+U350</f>
        <v>296634</v>
      </c>
      <c r="T350" s="951">
        <v>296634</v>
      </c>
      <c r="U350" s="951">
        <v>0</v>
      </c>
      <c r="V350" s="950">
        <f t="shared" ref="V350" si="782">W350+X350</f>
        <v>0</v>
      </c>
      <c r="W350" s="951">
        <v>0</v>
      </c>
      <c r="X350" s="951">
        <v>0</v>
      </c>
    </row>
    <row r="351" spans="1:25" ht="15.6" customHeight="1">
      <c r="A351" s="955"/>
      <c r="B351" s="989"/>
      <c r="C351" s="955"/>
      <c r="D351" s="990"/>
      <c r="E351" s="982"/>
      <c r="F351" s="982"/>
      <c r="G351" s="954"/>
      <c r="H351" s="548">
        <v>8285413</v>
      </c>
      <c r="I351" s="548">
        <v>4591181</v>
      </c>
      <c r="J351" s="959"/>
      <c r="K351" s="950"/>
      <c r="L351" s="950"/>
      <c r="M351" s="951"/>
      <c r="N351" s="951"/>
      <c r="O351" s="950"/>
      <c r="P351" s="950"/>
      <c r="Q351" s="951"/>
      <c r="R351" s="951"/>
      <c r="S351" s="950"/>
      <c r="T351" s="951"/>
      <c r="U351" s="951"/>
      <c r="V351" s="950"/>
      <c r="W351" s="951"/>
      <c r="X351" s="951"/>
    </row>
    <row r="352" spans="1:25" ht="15.6" customHeight="1">
      <c r="A352" s="955"/>
      <c r="B352" s="989"/>
      <c r="C352" s="955"/>
      <c r="D352" s="990"/>
      <c r="E352" s="982"/>
      <c r="F352" s="982"/>
      <c r="G352" s="954"/>
      <c r="H352" s="548">
        <v>0</v>
      </c>
      <c r="I352" s="548">
        <v>0</v>
      </c>
      <c r="J352" s="548" t="s">
        <v>14</v>
      </c>
      <c r="K352" s="550">
        <f t="shared" ref="K352" si="783">L352+O352</f>
        <v>153000</v>
      </c>
      <c r="L352" s="550">
        <f t="shared" ref="L352" si="784">M352+N352</f>
        <v>130047</v>
      </c>
      <c r="M352" s="551">
        <v>130047</v>
      </c>
      <c r="N352" s="551">
        <v>0</v>
      </c>
      <c r="O352" s="550">
        <f t="shared" ref="O352" si="785">P352+S352+V352</f>
        <v>22953</v>
      </c>
      <c r="P352" s="550">
        <f t="shared" ref="P352" si="786">Q352+R352</f>
        <v>0</v>
      </c>
      <c r="Q352" s="551">
        <v>0</v>
      </c>
      <c r="R352" s="551">
        <v>0</v>
      </c>
      <c r="S352" s="550">
        <f t="shared" ref="S352" si="787">T352+U352</f>
        <v>22953</v>
      </c>
      <c r="T352" s="551">
        <v>22953</v>
      </c>
      <c r="U352" s="551">
        <v>0</v>
      </c>
      <c r="V352" s="550">
        <f t="shared" ref="V352" si="788">W352+X352</f>
        <v>0</v>
      </c>
      <c r="W352" s="551">
        <v>0</v>
      </c>
      <c r="X352" s="551">
        <v>0</v>
      </c>
    </row>
    <row r="353" spans="1:24" ht="15.6" customHeight="1">
      <c r="A353" s="955"/>
      <c r="B353" s="989"/>
      <c r="C353" s="955"/>
      <c r="D353" s="990"/>
      <c r="E353" s="982"/>
      <c r="F353" s="982"/>
      <c r="G353" s="954"/>
      <c r="H353" s="548">
        <v>1462132</v>
      </c>
      <c r="I353" s="548">
        <v>810208</v>
      </c>
      <c r="J353" s="958" t="s">
        <v>15</v>
      </c>
      <c r="K353" s="950">
        <f t="shared" ref="K353:X353" si="789">K350+K352</f>
        <v>2130578</v>
      </c>
      <c r="L353" s="950">
        <f t="shared" si="789"/>
        <v>1810991</v>
      </c>
      <c r="M353" s="951">
        <f t="shared" si="789"/>
        <v>1810991</v>
      </c>
      <c r="N353" s="951">
        <f t="shared" si="789"/>
        <v>0</v>
      </c>
      <c r="O353" s="950">
        <f t="shared" si="789"/>
        <v>319587</v>
      </c>
      <c r="P353" s="950">
        <f t="shared" si="789"/>
        <v>0</v>
      </c>
      <c r="Q353" s="951">
        <f t="shared" si="789"/>
        <v>0</v>
      </c>
      <c r="R353" s="951">
        <f t="shared" si="789"/>
        <v>0</v>
      </c>
      <c r="S353" s="950">
        <f t="shared" si="789"/>
        <v>319587</v>
      </c>
      <c r="T353" s="951">
        <f t="shared" si="789"/>
        <v>319587</v>
      </c>
      <c r="U353" s="951">
        <f t="shared" si="789"/>
        <v>0</v>
      </c>
      <c r="V353" s="950">
        <f t="shared" si="789"/>
        <v>0</v>
      </c>
      <c r="W353" s="951">
        <f t="shared" si="789"/>
        <v>0</v>
      </c>
      <c r="X353" s="951">
        <f t="shared" si="789"/>
        <v>0</v>
      </c>
    </row>
    <row r="354" spans="1:24" ht="15.6" customHeight="1">
      <c r="A354" s="955"/>
      <c r="B354" s="989"/>
      <c r="C354" s="955"/>
      <c r="D354" s="990"/>
      <c r="E354" s="983"/>
      <c r="F354" s="983"/>
      <c r="G354" s="954"/>
      <c r="H354" s="548">
        <v>0</v>
      </c>
      <c r="I354" s="548">
        <v>0</v>
      </c>
      <c r="J354" s="959"/>
      <c r="K354" s="950"/>
      <c r="L354" s="950"/>
      <c r="M354" s="951"/>
      <c r="N354" s="951"/>
      <c r="O354" s="950"/>
      <c r="P354" s="950"/>
      <c r="Q354" s="951"/>
      <c r="R354" s="951"/>
      <c r="S354" s="950"/>
      <c r="T354" s="951"/>
      <c r="U354" s="951"/>
      <c r="V354" s="950"/>
      <c r="W354" s="951"/>
      <c r="X354" s="951"/>
    </row>
    <row r="355" spans="1:24" ht="15.6" customHeight="1">
      <c r="A355" s="955">
        <v>3</v>
      </c>
      <c r="B355" s="989" t="s">
        <v>1065</v>
      </c>
      <c r="C355" s="955">
        <v>121</v>
      </c>
      <c r="D355" s="990" t="s">
        <v>1069</v>
      </c>
      <c r="E355" s="954" t="s">
        <v>940</v>
      </c>
      <c r="F355" s="954" t="s">
        <v>1070</v>
      </c>
      <c r="G355" s="954" t="s">
        <v>1028</v>
      </c>
      <c r="H355" s="548">
        <f>H356+H358+H357+H359</f>
        <v>8392047</v>
      </c>
      <c r="I355" s="548">
        <f>I356+I358+I357+I359</f>
        <v>0</v>
      </c>
      <c r="J355" s="958" t="s">
        <v>13</v>
      </c>
      <c r="K355" s="950">
        <f t="shared" ref="K355" si="790">L355+O355</f>
        <v>3091851</v>
      </c>
      <c r="L355" s="950">
        <f t="shared" ref="L355" si="791">M355+N355</f>
        <v>2628073</v>
      </c>
      <c r="M355" s="951">
        <v>0</v>
      </c>
      <c r="N355" s="951">
        <v>2628073</v>
      </c>
      <c r="O355" s="950">
        <f t="shared" ref="O355" si="792">P355+S355+V355</f>
        <v>463778</v>
      </c>
      <c r="P355" s="950">
        <f t="shared" ref="P355" si="793">Q355+R355</f>
        <v>0</v>
      </c>
      <c r="Q355" s="951">
        <v>0</v>
      </c>
      <c r="R355" s="951">
        <v>0</v>
      </c>
      <c r="S355" s="950">
        <f t="shared" ref="S355" si="794">T355+U355</f>
        <v>463778</v>
      </c>
      <c r="T355" s="951">
        <v>0</v>
      </c>
      <c r="U355" s="951">
        <v>463778</v>
      </c>
      <c r="V355" s="950">
        <f t="shared" ref="V355" si="795">W355+X355</f>
        <v>0</v>
      </c>
      <c r="W355" s="951">
        <v>0</v>
      </c>
      <c r="X355" s="951">
        <v>0</v>
      </c>
    </row>
    <row r="356" spans="1:24" ht="15.6" customHeight="1">
      <c r="A356" s="955"/>
      <c r="B356" s="989"/>
      <c r="C356" s="955"/>
      <c r="D356" s="990"/>
      <c r="E356" s="954"/>
      <c r="F356" s="954"/>
      <c r="G356" s="954"/>
      <c r="H356" s="548">
        <v>7133239</v>
      </c>
      <c r="I356" s="548">
        <v>0</v>
      </c>
      <c r="J356" s="959"/>
      <c r="K356" s="950"/>
      <c r="L356" s="950"/>
      <c r="M356" s="951"/>
      <c r="N356" s="951"/>
      <c r="O356" s="950"/>
      <c r="P356" s="950"/>
      <c r="Q356" s="951"/>
      <c r="R356" s="951"/>
      <c r="S356" s="950"/>
      <c r="T356" s="951"/>
      <c r="U356" s="951"/>
      <c r="V356" s="950"/>
      <c r="W356" s="951"/>
      <c r="X356" s="951"/>
    </row>
    <row r="357" spans="1:24" ht="15.6" customHeight="1">
      <c r="A357" s="955"/>
      <c r="B357" s="989"/>
      <c r="C357" s="955"/>
      <c r="D357" s="990"/>
      <c r="E357" s="954"/>
      <c r="F357" s="954"/>
      <c r="G357" s="954"/>
      <c r="H357" s="548">
        <v>0</v>
      </c>
      <c r="I357" s="548">
        <v>0</v>
      </c>
      <c r="J357" s="548" t="s">
        <v>14</v>
      </c>
      <c r="K357" s="550">
        <f t="shared" ref="K357" si="796">L357+O357</f>
        <v>145486</v>
      </c>
      <c r="L357" s="550">
        <f t="shared" ref="L357" si="797">M357+N357</f>
        <v>123663</v>
      </c>
      <c r="M357" s="551">
        <v>0</v>
      </c>
      <c r="N357" s="551">
        <v>123663</v>
      </c>
      <c r="O357" s="550">
        <f t="shared" ref="O357" si="798">P357+S357+V357</f>
        <v>21823</v>
      </c>
      <c r="P357" s="550">
        <f t="shared" ref="P357" si="799">Q357+R357</f>
        <v>0</v>
      </c>
      <c r="Q357" s="551">
        <v>0</v>
      </c>
      <c r="R357" s="551">
        <v>0</v>
      </c>
      <c r="S357" s="550">
        <f t="shared" ref="S357" si="800">T357+U357</f>
        <v>21823</v>
      </c>
      <c r="T357" s="551">
        <v>0</v>
      </c>
      <c r="U357" s="551">
        <v>21823</v>
      </c>
      <c r="V357" s="550">
        <f t="shared" ref="V357" si="801">W357+X357</f>
        <v>0</v>
      </c>
      <c r="W357" s="551">
        <v>0</v>
      </c>
      <c r="X357" s="551">
        <v>0</v>
      </c>
    </row>
    <row r="358" spans="1:24" ht="15.6" customHeight="1">
      <c r="A358" s="955"/>
      <c r="B358" s="989"/>
      <c r="C358" s="955"/>
      <c r="D358" s="990"/>
      <c r="E358" s="954"/>
      <c r="F358" s="954"/>
      <c r="G358" s="954"/>
      <c r="H358" s="548">
        <v>1258808</v>
      </c>
      <c r="I358" s="548">
        <v>0</v>
      </c>
      <c r="J358" s="958" t="s">
        <v>15</v>
      </c>
      <c r="K358" s="950">
        <f t="shared" ref="K358:X358" si="802">K355+K357</f>
        <v>3237337</v>
      </c>
      <c r="L358" s="950">
        <f t="shared" si="802"/>
        <v>2751736</v>
      </c>
      <c r="M358" s="951">
        <f t="shared" si="802"/>
        <v>0</v>
      </c>
      <c r="N358" s="951">
        <f t="shared" si="802"/>
        <v>2751736</v>
      </c>
      <c r="O358" s="950">
        <f t="shared" si="802"/>
        <v>485601</v>
      </c>
      <c r="P358" s="950">
        <f t="shared" si="802"/>
        <v>0</v>
      </c>
      <c r="Q358" s="951">
        <f t="shared" si="802"/>
        <v>0</v>
      </c>
      <c r="R358" s="951">
        <f t="shared" si="802"/>
        <v>0</v>
      </c>
      <c r="S358" s="950">
        <f t="shared" si="802"/>
        <v>485601</v>
      </c>
      <c r="T358" s="951">
        <f t="shared" si="802"/>
        <v>0</v>
      </c>
      <c r="U358" s="951">
        <f t="shared" si="802"/>
        <v>485601</v>
      </c>
      <c r="V358" s="950">
        <f t="shared" si="802"/>
        <v>0</v>
      </c>
      <c r="W358" s="951">
        <f t="shared" si="802"/>
        <v>0</v>
      </c>
      <c r="X358" s="951">
        <f t="shared" si="802"/>
        <v>0</v>
      </c>
    </row>
    <row r="359" spans="1:24" ht="15.6" customHeight="1">
      <c r="A359" s="955"/>
      <c r="B359" s="989"/>
      <c r="C359" s="955"/>
      <c r="D359" s="990"/>
      <c r="E359" s="954"/>
      <c r="F359" s="954"/>
      <c r="G359" s="954"/>
      <c r="H359" s="548">
        <v>0</v>
      </c>
      <c r="I359" s="548">
        <v>0</v>
      </c>
      <c r="J359" s="959"/>
      <c r="K359" s="950"/>
      <c r="L359" s="950"/>
      <c r="M359" s="951"/>
      <c r="N359" s="951"/>
      <c r="O359" s="950"/>
      <c r="P359" s="950"/>
      <c r="Q359" s="951"/>
      <c r="R359" s="951"/>
      <c r="S359" s="950"/>
      <c r="T359" s="951"/>
      <c r="U359" s="951"/>
      <c r="V359" s="950"/>
      <c r="W359" s="951"/>
      <c r="X359" s="951"/>
    </row>
    <row r="360" spans="1:24" ht="15.6" customHeight="1">
      <c r="A360" s="955">
        <v>4</v>
      </c>
      <c r="B360" s="989" t="s">
        <v>1065</v>
      </c>
      <c r="C360" s="955" t="s">
        <v>1066</v>
      </c>
      <c r="D360" s="990" t="s">
        <v>1071</v>
      </c>
      <c r="E360" s="954" t="s">
        <v>940</v>
      </c>
      <c r="F360" s="954" t="s">
        <v>1072</v>
      </c>
      <c r="G360" s="954" t="s">
        <v>1038</v>
      </c>
      <c r="H360" s="548">
        <f>H361+H363+H362+H364</f>
        <v>0</v>
      </c>
      <c r="I360" s="548">
        <f>I361+I363+I362+I364</f>
        <v>0</v>
      </c>
      <c r="J360" s="958" t="s">
        <v>13</v>
      </c>
      <c r="K360" s="950">
        <f t="shared" ref="K360" si="803">L360+O360</f>
        <v>9750502</v>
      </c>
      <c r="L360" s="950">
        <f t="shared" ref="L360" si="804">M360+N360</f>
        <v>8287927</v>
      </c>
      <c r="M360" s="951">
        <v>0</v>
      </c>
      <c r="N360" s="951">
        <v>8287927</v>
      </c>
      <c r="O360" s="950">
        <f t="shared" ref="O360" si="805">P360+S360+V360</f>
        <v>1462575</v>
      </c>
      <c r="P360" s="950">
        <f t="shared" ref="P360" si="806">Q360+R360</f>
        <v>0</v>
      </c>
      <c r="Q360" s="951">
        <v>0</v>
      </c>
      <c r="R360" s="951">
        <v>0</v>
      </c>
      <c r="S360" s="950">
        <f t="shared" ref="S360" si="807">T360+U360</f>
        <v>1462575</v>
      </c>
      <c r="T360" s="951">
        <v>0</v>
      </c>
      <c r="U360" s="951">
        <v>1462575</v>
      </c>
      <c r="V360" s="950">
        <f t="shared" ref="V360" si="808">W360+X360</f>
        <v>0</v>
      </c>
      <c r="W360" s="951">
        <v>0</v>
      </c>
      <c r="X360" s="951">
        <v>0</v>
      </c>
    </row>
    <row r="361" spans="1:24" ht="15.6" customHeight="1">
      <c r="A361" s="955"/>
      <c r="B361" s="989"/>
      <c r="C361" s="955"/>
      <c r="D361" s="990"/>
      <c r="E361" s="954"/>
      <c r="F361" s="954"/>
      <c r="G361" s="954"/>
      <c r="H361" s="548">
        <v>0</v>
      </c>
      <c r="I361" s="548">
        <v>0</v>
      </c>
      <c r="J361" s="959"/>
      <c r="K361" s="950"/>
      <c r="L361" s="950"/>
      <c r="M361" s="951"/>
      <c r="N361" s="951"/>
      <c r="O361" s="950"/>
      <c r="P361" s="950"/>
      <c r="Q361" s="951"/>
      <c r="R361" s="951"/>
      <c r="S361" s="950"/>
      <c r="T361" s="951"/>
      <c r="U361" s="951"/>
      <c r="V361" s="950"/>
      <c r="W361" s="951"/>
      <c r="X361" s="951"/>
    </row>
    <row r="362" spans="1:24" ht="15.6" customHeight="1">
      <c r="A362" s="955"/>
      <c r="B362" s="989"/>
      <c r="C362" s="955"/>
      <c r="D362" s="990"/>
      <c r="E362" s="954"/>
      <c r="F362" s="954"/>
      <c r="G362" s="954"/>
      <c r="H362" s="548">
        <v>0</v>
      </c>
      <c r="I362" s="548">
        <v>0</v>
      </c>
      <c r="J362" s="548" t="s">
        <v>14</v>
      </c>
      <c r="K362" s="550">
        <f t="shared" ref="K362" si="809">L362+O362</f>
        <v>-9750502</v>
      </c>
      <c r="L362" s="550">
        <f t="shared" ref="L362" si="810">M362+N362</f>
        <v>-8287927</v>
      </c>
      <c r="M362" s="551">
        <v>0</v>
      </c>
      <c r="N362" s="551">
        <v>-8287927</v>
      </c>
      <c r="O362" s="550">
        <f t="shared" ref="O362" si="811">P362+S362+V362</f>
        <v>-1462575</v>
      </c>
      <c r="P362" s="550">
        <f t="shared" ref="P362" si="812">Q362+R362</f>
        <v>0</v>
      </c>
      <c r="Q362" s="551">
        <v>0</v>
      </c>
      <c r="R362" s="551">
        <v>0</v>
      </c>
      <c r="S362" s="550">
        <f t="shared" ref="S362" si="813">T362+U362</f>
        <v>-1462575</v>
      </c>
      <c r="T362" s="551">
        <v>0</v>
      </c>
      <c r="U362" s="551">
        <v>-1462575</v>
      </c>
      <c r="V362" s="550">
        <f t="shared" ref="V362" si="814">W362+X362</f>
        <v>0</v>
      </c>
      <c r="W362" s="551">
        <v>0</v>
      </c>
      <c r="X362" s="551">
        <v>0</v>
      </c>
    </row>
    <row r="363" spans="1:24" ht="15.6" customHeight="1">
      <c r="A363" s="955"/>
      <c r="B363" s="989"/>
      <c r="C363" s="955"/>
      <c r="D363" s="990"/>
      <c r="E363" s="954"/>
      <c r="F363" s="954"/>
      <c r="G363" s="954"/>
      <c r="H363" s="548">
        <v>0</v>
      </c>
      <c r="I363" s="548">
        <v>0</v>
      </c>
      <c r="J363" s="958" t="s">
        <v>15</v>
      </c>
      <c r="K363" s="950">
        <f t="shared" ref="K363:X363" si="815">K360+K362</f>
        <v>0</v>
      </c>
      <c r="L363" s="950">
        <f t="shared" si="815"/>
        <v>0</v>
      </c>
      <c r="M363" s="951">
        <f t="shared" si="815"/>
        <v>0</v>
      </c>
      <c r="N363" s="951">
        <f t="shared" si="815"/>
        <v>0</v>
      </c>
      <c r="O363" s="950">
        <f t="shared" si="815"/>
        <v>0</v>
      </c>
      <c r="P363" s="950">
        <f t="shared" si="815"/>
        <v>0</v>
      </c>
      <c r="Q363" s="951">
        <f t="shared" si="815"/>
        <v>0</v>
      </c>
      <c r="R363" s="951">
        <f t="shared" si="815"/>
        <v>0</v>
      </c>
      <c r="S363" s="950">
        <f t="shared" si="815"/>
        <v>0</v>
      </c>
      <c r="T363" s="951">
        <f t="shared" si="815"/>
        <v>0</v>
      </c>
      <c r="U363" s="951">
        <f t="shared" si="815"/>
        <v>0</v>
      </c>
      <c r="V363" s="950">
        <f t="shared" si="815"/>
        <v>0</v>
      </c>
      <c r="W363" s="951">
        <f t="shared" si="815"/>
        <v>0</v>
      </c>
      <c r="X363" s="951">
        <f t="shared" si="815"/>
        <v>0</v>
      </c>
    </row>
    <row r="364" spans="1:24" ht="15.6" customHeight="1">
      <c r="A364" s="955"/>
      <c r="B364" s="989"/>
      <c r="C364" s="955"/>
      <c r="D364" s="990"/>
      <c r="E364" s="954"/>
      <c r="F364" s="954"/>
      <c r="G364" s="954"/>
      <c r="H364" s="548">
        <v>0</v>
      </c>
      <c r="I364" s="548">
        <v>0</v>
      </c>
      <c r="J364" s="959"/>
      <c r="K364" s="950"/>
      <c r="L364" s="950"/>
      <c r="M364" s="951"/>
      <c r="N364" s="951"/>
      <c r="O364" s="950"/>
      <c r="P364" s="950"/>
      <c r="Q364" s="951"/>
      <c r="R364" s="951"/>
      <c r="S364" s="950"/>
      <c r="T364" s="951"/>
      <c r="U364" s="951"/>
      <c r="V364" s="950"/>
      <c r="W364" s="951"/>
      <c r="X364" s="951"/>
    </row>
    <row r="365" spans="1:24" ht="15.6" customHeight="1">
      <c r="A365" s="955">
        <v>5</v>
      </c>
      <c r="B365" s="989" t="s">
        <v>1065</v>
      </c>
      <c r="C365" s="955" t="s">
        <v>1066</v>
      </c>
      <c r="D365" s="990" t="s">
        <v>1073</v>
      </c>
      <c r="E365" s="954" t="s">
        <v>940</v>
      </c>
      <c r="F365" s="954" t="s">
        <v>1068</v>
      </c>
      <c r="G365" s="954">
        <v>2021</v>
      </c>
      <c r="H365" s="548">
        <f>H366+H368+H367+H369</f>
        <v>8342165</v>
      </c>
      <c r="I365" s="548">
        <f>I366+I368+I367+I369</f>
        <v>0</v>
      </c>
      <c r="J365" s="958" t="s">
        <v>13</v>
      </c>
      <c r="K365" s="950">
        <f t="shared" ref="K365" si="816">L365+O365</f>
        <v>8487647</v>
      </c>
      <c r="L365" s="950">
        <f t="shared" ref="L365" si="817">M365+N365</f>
        <v>7214500</v>
      </c>
      <c r="M365" s="951">
        <v>7214500</v>
      </c>
      <c r="N365" s="951">
        <v>0</v>
      </c>
      <c r="O365" s="950">
        <f t="shared" ref="O365" si="818">P365+S365+V365</f>
        <v>1273147</v>
      </c>
      <c r="P365" s="950">
        <f t="shared" ref="P365" si="819">Q365+R365</f>
        <v>0</v>
      </c>
      <c r="Q365" s="951">
        <v>0</v>
      </c>
      <c r="R365" s="951">
        <v>0</v>
      </c>
      <c r="S365" s="950">
        <f t="shared" ref="S365" si="820">T365+U365</f>
        <v>1273147</v>
      </c>
      <c r="T365" s="951">
        <v>1273147</v>
      </c>
      <c r="U365" s="951">
        <v>0</v>
      </c>
      <c r="V365" s="950">
        <f t="shared" ref="V365" si="821">W365+X365</f>
        <v>0</v>
      </c>
      <c r="W365" s="951">
        <v>0</v>
      </c>
      <c r="X365" s="951">
        <v>0</v>
      </c>
    </row>
    <row r="366" spans="1:24" ht="15.6" customHeight="1">
      <c r="A366" s="955"/>
      <c r="B366" s="989"/>
      <c r="C366" s="955"/>
      <c r="D366" s="990"/>
      <c r="E366" s="954"/>
      <c r="F366" s="954"/>
      <c r="G366" s="954"/>
      <c r="H366" s="548">
        <v>7090840</v>
      </c>
      <c r="I366" s="548">
        <v>0</v>
      </c>
      <c r="J366" s="959"/>
      <c r="K366" s="950"/>
      <c r="L366" s="950"/>
      <c r="M366" s="951"/>
      <c r="N366" s="951"/>
      <c r="O366" s="950"/>
      <c r="P366" s="950"/>
      <c r="Q366" s="951"/>
      <c r="R366" s="951"/>
      <c r="S366" s="950"/>
      <c r="T366" s="951"/>
      <c r="U366" s="951"/>
      <c r="V366" s="950"/>
      <c r="W366" s="951"/>
      <c r="X366" s="951"/>
    </row>
    <row r="367" spans="1:24" ht="15.6" customHeight="1">
      <c r="A367" s="955"/>
      <c r="B367" s="989"/>
      <c r="C367" s="955"/>
      <c r="D367" s="990"/>
      <c r="E367" s="954"/>
      <c r="F367" s="954"/>
      <c r="G367" s="954"/>
      <c r="H367" s="548">
        <v>0</v>
      </c>
      <c r="I367" s="548">
        <v>0</v>
      </c>
      <c r="J367" s="548" t="s">
        <v>14</v>
      </c>
      <c r="K367" s="550">
        <f t="shared" ref="K367" si="822">L367+O367</f>
        <v>-145482</v>
      </c>
      <c r="L367" s="550">
        <f t="shared" ref="L367" si="823">M367+N367</f>
        <v>-123660</v>
      </c>
      <c r="M367" s="551">
        <v>-123660</v>
      </c>
      <c r="N367" s="551">
        <v>0</v>
      </c>
      <c r="O367" s="550">
        <f t="shared" ref="O367" si="824">P367+S367+V367</f>
        <v>-21822</v>
      </c>
      <c r="P367" s="550">
        <f t="shared" ref="P367" si="825">Q367+R367</f>
        <v>0</v>
      </c>
      <c r="Q367" s="551">
        <v>0</v>
      </c>
      <c r="R367" s="551">
        <v>0</v>
      </c>
      <c r="S367" s="550">
        <f t="shared" ref="S367" si="826">T367+U367</f>
        <v>-21822</v>
      </c>
      <c r="T367" s="551">
        <v>-21822</v>
      </c>
      <c r="U367" s="551">
        <v>0</v>
      </c>
      <c r="V367" s="550">
        <f t="shared" ref="V367" si="827">W367+X367</f>
        <v>0</v>
      </c>
      <c r="W367" s="551">
        <v>0</v>
      </c>
      <c r="X367" s="551">
        <v>0</v>
      </c>
    </row>
    <row r="368" spans="1:24" ht="15.6" customHeight="1">
      <c r="A368" s="955"/>
      <c r="B368" s="989"/>
      <c r="C368" s="955"/>
      <c r="D368" s="990"/>
      <c r="E368" s="954"/>
      <c r="F368" s="954"/>
      <c r="G368" s="954"/>
      <c r="H368" s="548">
        <v>1251325</v>
      </c>
      <c r="I368" s="548">
        <v>0</v>
      </c>
      <c r="J368" s="958" t="s">
        <v>15</v>
      </c>
      <c r="K368" s="950">
        <f t="shared" ref="K368:X368" si="828">K365+K367</f>
        <v>8342165</v>
      </c>
      <c r="L368" s="950">
        <f t="shared" si="828"/>
        <v>7090840</v>
      </c>
      <c r="M368" s="951">
        <f t="shared" si="828"/>
        <v>7090840</v>
      </c>
      <c r="N368" s="951">
        <f t="shared" si="828"/>
        <v>0</v>
      </c>
      <c r="O368" s="950">
        <f t="shared" si="828"/>
        <v>1251325</v>
      </c>
      <c r="P368" s="950">
        <f t="shared" si="828"/>
        <v>0</v>
      </c>
      <c r="Q368" s="951">
        <f t="shared" si="828"/>
        <v>0</v>
      </c>
      <c r="R368" s="951">
        <f t="shared" si="828"/>
        <v>0</v>
      </c>
      <c r="S368" s="950">
        <f t="shared" si="828"/>
        <v>1251325</v>
      </c>
      <c r="T368" s="951">
        <f t="shared" si="828"/>
        <v>1251325</v>
      </c>
      <c r="U368" s="951">
        <f t="shared" si="828"/>
        <v>0</v>
      </c>
      <c r="V368" s="950">
        <f t="shared" si="828"/>
        <v>0</v>
      </c>
      <c r="W368" s="951">
        <f t="shared" si="828"/>
        <v>0</v>
      </c>
      <c r="X368" s="951">
        <f t="shared" si="828"/>
        <v>0</v>
      </c>
    </row>
    <row r="369" spans="1:24" ht="15.6" customHeight="1">
      <c r="A369" s="955"/>
      <c r="B369" s="989"/>
      <c r="C369" s="955"/>
      <c r="D369" s="990"/>
      <c r="E369" s="954"/>
      <c r="F369" s="954"/>
      <c r="G369" s="954"/>
      <c r="H369" s="548">
        <v>0</v>
      </c>
      <c r="I369" s="548">
        <v>0</v>
      </c>
      <c r="J369" s="959"/>
      <c r="K369" s="950"/>
      <c r="L369" s="950"/>
      <c r="M369" s="951"/>
      <c r="N369" s="951"/>
      <c r="O369" s="950"/>
      <c r="P369" s="950"/>
      <c r="Q369" s="951"/>
      <c r="R369" s="951"/>
      <c r="S369" s="950"/>
      <c r="T369" s="951"/>
      <c r="U369" s="951"/>
      <c r="V369" s="950"/>
      <c r="W369" s="951"/>
      <c r="X369" s="951"/>
    </row>
    <row r="370" spans="1:24" ht="15.6" hidden="1" customHeight="1">
      <c r="A370" s="972">
        <v>6</v>
      </c>
      <c r="B370" s="1008" t="s">
        <v>1074</v>
      </c>
      <c r="C370" s="972">
        <v>123</v>
      </c>
      <c r="D370" s="1011" t="s">
        <v>1075</v>
      </c>
      <c r="E370" s="954" t="s">
        <v>940</v>
      </c>
      <c r="F370" s="981" t="s">
        <v>1068</v>
      </c>
      <c r="G370" s="981">
        <v>2021</v>
      </c>
      <c r="H370" s="548">
        <f>H371+H373+H372+H374</f>
        <v>2842664</v>
      </c>
      <c r="I370" s="548">
        <f>I371+I373+I372+I374</f>
        <v>0</v>
      </c>
      <c r="J370" s="958" t="s">
        <v>13</v>
      </c>
      <c r="K370" s="950">
        <f t="shared" ref="K370" si="829">L370+O370</f>
        <v>2842664</v>
      </c>
      <c r="L370" s="950">
        <f t="shared" ref="L370" si="830">M370+N370</f>
        <v>2416264</v>
      </c>
      <c r="M370" s="951">
        <v>2416264</v>
      </c>
      <c r="N370" s="951">
        <v>0</v>
      </c>
      <c r="O370" s="950">
        <f t="shared" ref="O370" si="831">P370+S370+V370</f>
        <v>426400</v>
      </c>
      <c r="P370" s="950">
        <f t="shared" ref="P370" si="832">Q370+R370</f>
        <v>0</v>
      </c>
      <c r="Q370" s="951">
        <v>0</v>
      </c>
      <c r="R370" s="951">
        <v>0</v>
      </c>
      <c r="S370" s="950">
        <f t="shared" ref="S370" si="833">T370+U370</f>
        <v>426400</v>
      </c>
      <c r="T370" s="951">
        <v>426400</v>
      </c>
      <c r="U370" s="951">
        <v>0</v>
      </c>
      <c r="V370" s="950">
        <f t="shared" ref="V370" si="834">W370+X370</f>
        <v>0</v>
      </c>
      <c r="W370" s="951">
        <v>0</v>
      </c>
      <c r="X370" s="951">
        <v>0</v>
      </c>
    </row>
    <row r="371" spans="1:24" ht="15.6" hidden="1" customHeight="1">
      <c r="A371" s="973"/>
      <c r="B371" s="1009"/>
      <c r="C371" s="973"/>
      <c r="D371" s="1012"/>
      <c r="E371" s="954"/>
      <c r="F371" s="982"/>
      <c r="G371" s="982"/>
      <c r="H371" s="548">
        <v>2416264</v>
      </c>
      <c r="I371" s="548">
        <v>0</v>
      </c>
      <c r="J371" s="959"/>
      <c r="K371" s="950"/>
      <c r="L371" s="950"/>
      <c r="M371" s="951"/>
      <c r="N371" s="951"/>
      <c r="O371" s="950"/>
      <c r="P371" s="950"/>
      <c r="Q371" s="951"/>
      <c r="R371" s="951"/>
      <c r="S371" s="950"/>
      <c r="T371" s="951"/>
      <c r="U371" s="951"/>
      <c r="V371" s="950"/>
      <c r="W371" s="951"/>
      <c r="X371" s="951"/>
    </row>
    <row r="372" spans="1:24" ht="15.6" hidden="1" customHeight="1">
      <c r="A372" s="973"/>
      <c r="B372" s="1009"/>
      <c r="C372" s="973"/>
      <c r="D372" s="1012"/>
      <c r="E372" s="954"/>
      <c r="F372" s="982"/>
      <c r="G372" s="982"/>
      <c r="H372" s="548">
        <v>0</v>
      </c>
      <c r="I372" s="548">
        <v>0</v>
      </c>
      <c r="J372" s="548" t="s">
        <v>14</v>
      </c>
      <c r="K372" s="550">
        <f t="shared" ref="K372" si="835">L372+O372</f>
        <v>0</v>
      </c>
      <c r="L372" s="550">
        <f t="shared" ref="L372" si="836">M372+N372</f>
        <v>0</v>
      </c>
      <c r="M372" s="551">
        <v>0</v>
      </c>
      <c r="N372" s="551">
        <v>0</v>
      </c>
      <c r="O372" s="550">
        <f t="shared" ref="O372" si="837">P372+S372+V372</f>
        <v>0</v>
      </c>
      <c r="P372" s="550">
        <f t="shared" ref="P372" si="838">Q372+R372</f>
        <v>0</v>
      </c>
      <c r="Q372" s="551">
        <v>0</v>
      </c>
      <c r="R372" s="551">
        <v>0</v>
      </c>
      <c r="S372" s="550">
        <f t="shared" ref="S372" si="839">T372+U372</f>
        <v>0</v>
      </c>
      <c r="T372" s="551">
        <v>0</v>
      </c>
      <c r="U372" s="551">
        <v>0</v>
      </c>
      <c r="V372" s="550">
        <f t="shared" ref="V372" si="840">W372+X372</f>
        <v>0</v>
      </c>
      <c r="W372" s="551">
        <v>0</v>
      </c>
      <c r="X372" s="551">
        <v>0</v>
      </c>
    </row>
    <row r="373" spans="1:24" ht="15.6" hidden="1" customHeight="1">
      <c r="A373" s="973"/>
      <c r="B373" s="1009"/>
      <c r="C373" s="973"/>
      <c r="D373" s="1012"/>
      <c r="E373" s="954"/>
      <c r="F373" s="982"/>
      <c r="G373" s="982"/>
      <c r="H373" s="548">
        <v>426400</v>
      </c>
      <c r="I373" s="548">
        <v>0</v>
      </c>
      <c r="J373" s="958" t="s">
        <v>15</v>
      </c>
      <c r="K373" s="950">
        <f t="shared" ref="K373:X373" si="841">K370+K372</f>
        <v>2842664</v>
      </c>
      <c r="L373" s="950">
        <f t="shared" si="841"/>
        <v>2416264</v>
      </c>
      <c r="M373" s="951">
        <f t="shared" si="841"/>
        <v>2416264</v>
      </c>
      <c r="N373" s="951">
        <f t="shared" si="841"/>
        <v>0</v>
      </c>
      <c r="O373" s="950">
        <f t="shared" si="841"/>
        <v>426400</v>
      </c>
      <c r="P373" s="950">
        <f t="shared" si="841"/>
        <v>0</v>
      </c>
      <c r="Q373" s="951">
        <f t="shared" si="841"/>
        <v>0</v>
      </c>
      <c r="R373" s="951">
        <f t="shared" si="841"/>
        <v>0</v>
      </c>
      <c r="S373" s="950">
        <f t="shared" si="841"/>
        <v>426400</v>
      </c>
      <c r="T373" s="951">
        <f t="shared" si="841"/>
        <v>426400</v>
      </c>
      <c r="U373" s="951">
        <f t="shared" si="841"/>
        <v>0</v>
      </c>
      <c r="V373" s="950">
        <f t="shared" si="841"/>
        <v>0</v>
      </c>
      <c r="W373" s="951">
        <f t="shared" si="841"/>
        <v>0</v>
      </c>
      <c r="X373" s="951">
        <f t="shared" si="841"/>
        <v>0</v>
      </c>
    </row>
    <row r="374" spans="1:24" ht="15.6" hidden="1" customHeight="1">
      <c r="A374" s="974"/>
      <c r="B374" s="1010"/>
      <c r="C374" s="974"/>
      <c r="D374" s="1013"/>
      <c r="E374" s="954"/>
      <c r="F374" s="983"/>
      <c r="G374" s="983"/>
      <c r="H374" s="548">
        <v>0</v>
      </c>
      <c r="I374" s="548">
        <v>0</v>
      </c>
      <c r="J374" s="959"/>
      <c r="K374" s="950"/>
      <c r="L374" s="950"/>
      <c r="M374" s="951"/>
      <c r="N374" s="951"/>
      <c r="O374" s="950"/>
      <c r="P374" s="950"/>
      <c r="Q374" s="951"/>
      <c r="R374" s="951"/>
      <c r="S374" s="950"/>
      <c r="T374" s="951"/>
      <c r="U374" s="951"/>
      <c r="V374" s="950"/>
      <c r="W374" s="951"/>
      <c r="X374" s="951"/>
    </row>
    <row r="375" spans="1:24" ht="15.6" hidden="1" customHeight="1">
      <c r="A375" s="972">
        <v>7</v>
      </c>
      <c r="B375" s="1008" t="s">
        <v>1074</v>
      </c>
      <c r="C375" s="972">
        <v>123</v>
      </c>
      <c r="D375" s="1011" t="s">
        <v>1075</v>
      </c>
      <c r="E375" s="981" t="s">
        <v>1026</v>
      </c>
      <c r="F375" s="981" t="s">
        <v>1027</v>
      </c>
      <c r="G375" s="981">
        <v>2021</v>
      </c>
      <c r="H375" s="548">
        <f>H376+H378+H377+H379</f>
        <v>32344</v>
      </c>
      <c r="I375" s="548">
        <f>I376+I378+I377+I379</f>
        <v>0</v>
      </c>
      <c r="J375" s="958" t="s">
        <v>13</v>
      </c>
      <c r="K375" s="950">
        <f t="shared" ref="K375" si="842">L375+O375</f>
        <v>32344</v>
      </c>
      <c r="L375" s="950">
        <f t="shared" ref="L375" si="843">M375+N375</f>
        <v>27492</v>
      </c>
      <c r="M375" s="951">
        <v>27492</v>
      </c>
      <c r="N375" s="951">
        <v>0</v>
      </c>
      <c r="O375" s="950">
        <f t="shared" ref="O375" si="844">P375+S375+V375</f>
        <v>4852</v>
      </c>
      <c r="P375" s="950">
        <f t="shared" ref="P375" si="845">Q375+R375</f>
        <v>0</v>
      </c>
      <c r="Q375" s="951">
        <v>0</v>
      </c>
      <c r="R375" s="951">
        <v>0</v>
      </c>
      <c r="S375" s="950">
        <f t="shared" ref="S375" si="846">T375+U375</f>
        <v>4852</v>
      </c>
      <c r="T375" s="951">
        <v>4852</v>
      </c>
      <c r="U375" s="951">
        <v>0</v>
      </c>
      <c r="V375" s="950">
        <f t="shared" ref="V375" si="847">W375+X375</f>
        <v>0</v>
      </c>
      <c r="W375" s="951">
        <v>0</v>
      </c>
      <c r="X375" s="951">
        <v>0</v>
      </c>
    </row>
    <row r="376" spans="1:24" ht="15.6" hidden="1" customHeight="1">
      <c r="A376" s="973"/>
      <c r="B376" s="1009"/>
      <c r="C376" s="973"/>
      <c r="D376" s="1012"/>
      <c r="E376" s="982"/>
      <c r="F376" s="982"/>
      <c r="G376" s="982"/>
      <c r="H376" s="548">
        <v>27492</v>
      </c>
      <c r="I376" s="548">
        <v>0</v>
      </c>
      <c r="J376" s="959"/>
      <c r="K376" s="950"/>
      <c r="L376" s="950"/>
      <c r="M376" s="951"/>
      <c r="N376" s="951"/>
      <c r="O376" s="950"/>
      <c r="P376" s="950"/>
      <c r="Q376" s="951"/>
      <c r="R376" s="951"/>
      <c r="S376" s="950"/>
      <c r="T376" s="951"/>
      <c r="U376" s="951"/>
      <c r="V376" s="950"/>
      <c r="W376" s="951"/>
      <c r="X376" s="951"/>
    </row>
    <row r="377" spans="1:24" ht="15.6" hidden="1" customHeight="1">
      <c r="A377" s="973"/>
      <c r="B377" s="1009"/>
      <c r="C377" s="973"/>
      <c r="D377" s="1012"/>
      <c r="E377" s="982"/>
      <c r="F377" s="982"/>
      <c r="G377" s="982"/>
      <c r="H377" s="548">
        <v>0</v>
      </c>
      <c r="I377" s="548">
        <v>0</v>
      </c>
      <c r="J377" s="548" t="s">
        <v>14</v>
      </c>
      <c r="K377" s="550">
        <f t="shared" ref="K377" si="848">L377+O377</f>
        <v>0</v>
      </c>
      <c r="L377" s="550">
        <f t="shared" ref="L377" si="849">M377+N377</f>
        <v>0</v>
      </c>
      <c r="M377" s="551">
        <v>0</v>
      </c>
      <c r="N377" s="551">
        <v>0</v>
      </c>
      <c r="O377" s="550">
        <f t="shared" ref="O377" si="850">P377+S377+V377</f>
        <v>0</v>
      </c>
      <c r="P377" s="550">
        <f t="shared" ref="P377" si="851">Q377+R377</f>
        <v>0</v>
      </c>
      <c r="Q377" s="551">
        <v>0</v>
      </c>
      <c r="R377" s="551">
        <v>0</v>
      </c>
      <c r="S377" s="550">
        <f t="shared" ref="S377" si="852">T377+U377</f>
        <v>0</v>
      </c>
      <c r="T377" s="551">
        <v>0</v>
      </c>
      <c r="U377" s="551">
        <v>0</v>
      </c>
      <c r="V377" s="550">
        <f t="shared" ref="V377" si="853">W377+X377</f>
        <v>0</v>
      </c>
      <c r="W377" s="551">
        <v>0</v>
      </c>
      <c r="X377" s="551">
        <v>0</v>
      </c>
    </row>
    <row r="378" spans="1:24" ht="15.6" hidden="1" customHeight="1">
      <c r="A378" s="973"/>
      <c r="B378" s="1009"/>
      <c r="C378" s="973"/>
      <c r="D378" s="1012"/>
      <c r="E378" s="982"/>
      <c r="F378" s="982"/>
      <c r="G378" s="982"/>
      <c r="H378" s="548">
        <v>4852</v>
      </c>
      <c r="I378" s="548">
        <v>0</v>
      </c>
      <c r="J378" s="958" t="s">
        <v>15</v>
      </c>
      <c r="K378" s="950">
        <f t="shared" ref="K378:X378" si="854">K375+K377</f>
        <v>32344</v>
      </c>
      <c r="L378" s="950">
        <f t="shared" si="854"/>
        <v>27492</v>
      </c>
      <c r="M378" s="951">
        <f t="shared" si="854"/>
        <v>27492</v>
      </c>
      <c r="N378" s="951">
        <f t="shared" si="854"/>
        <v>0</v>
      </c>
      <c r="O378" s="950">
        <f t="shared" si="854"/>
        <v>4852</v>
      </c>
      <c r="P378" s="950">
        <f t="shared" si="854"/>
        <v>0</v>
      </c>
      <c r="Q378" s="951">
        <f t="shared" si="854"/>
        <v>0</v>
      </c>
      <c r="R378" s="951">
        <f t="shared" si="854"/>
        <v>0</v>
      </c>
      <c r="S378" s="950">
        <f t="shared" si="854"/>
        <v>4852</v>
      </c>
      <c r="T378" s="951">
        <f t="shared" si="854"/>
        <v>4852</v>
      </c>
      <c r="U378" s="951">
        <f t="shared" si="854"/>
        <v>0</v>
      </c>
      <c r="V378" s="950">
        <f t="shared" si="854"/>
        <v>0</v>
      </c>
      <c r="W378" s="951">
        <f t="shared" si="854"/>
        <v>0</v>
      </c>
      <c r="X378" s="951">
        <f t="shared" si="854"/>
        <v>0</v>
      </c>
    </row>
    <row r="379" spans="1:24" ht="15.6" hidden="1" customHeight="1">
      <c r="A379" s="974"/>
      <c r="B379" s="1010"/>
      <c r="C379" s="974"/>
      <c r="D379" s="1013"/>
      <c r="E379" s="983"/>
      <c r="F379" s="983"/>
      <c r="G379" s="983"/>
      <c r="H379" s="548">
        <v>0</v>
      </c>
      <c r="I379" s="548">
        <v>0</v>
      </c>
      <c r="J379" s="959"/>
      <c r="K379" s="950"/>
      <c r="L379" s="950"/>
      <c r="M379" s="951"/>
      <c r="N379" s="951"/>
      <c r="O379" s="950"/>
      <c r="P379" s="950"/>
      <c r="Q379" s="951"/>
      <c r="R379" s="951"/>
      <c r="S379" s="950"/>
      <c r="T379" s="951"/>
      <c r="U379" s="951"/>
      <c r="V379" s="950"/>
      <c r="W379" s="951"/>
      <c r="X379" s="951"/>
    </row>
    <row r="380" spans="1:24" ht="15.6" customHeight="1">
      <c r="A380" s="1014" t="s">
        <v>1076</v>
      </c>
      <c r="B380" s="1014"/>
      <c r="C380" s="1014"/>
      <c r="D380" s="1014"/>
      <c r="E380" s="1014"/>
      <c r="F380" s="1014"/>
      <c r="G380" s="1014"/>
      <c r="H380" s="561">
        <f>H345+H350+H355+H365+H370+H375+H360</f>
        <v>235056447</v>
      </c>
      <c r="I380" s="561">
        <f>I345+I350+I355+I365+I370+I375+I360</f>
        <v>111843413</v>
      </c>
      <c r="J380" s="1001" t="s">
        <v>13</v>
      </c>
      <c r="K380" s="1003">
        <f>K345+K350+K355+K360+K365+K370+K375</f>
        <v>76490586</v>
      </c>
      <c r="L380" s="1003">
        <f t="shared" ref="L380:X380" si="855">L345+L350+L355+L360+L365+L370+L375</f>
        <v>65017000</v>
      </c>
      <c r="M380" s="1003">
        <f t="shared" si="855"/>
        <v>53948000</v>
      </c>
      <c r="N380" s="1003">
        <f t="shared" si="855"/>
        <v>11069000</v>
      </c>
      <c r="O380" s="1003">
        <f t="shared" si="855"/>
        <v>11473586</v>
      </c>
      <c r="P380" s="1003">
        <f t="shared" si="855"/>
        <v>0</v>
      </c>
      <c r="Q380" s="1003">
        <f t="shared" si="855"/>
        <v>0</v>
      </c>
      <c r="R380" s="1003">
        <f t="shared" si="855"/>
        <v>0</v>
      </c>
      <c r="S380" s="1003">
        <f t="shared" si="855"/>
        <v>11473586</v>
      </c>
      <c r="T380" s="1003">
        <f t="shared" si="855"/>
        <v>9520233</v>
      </c>
      <c r="U380" s="1003">
        <f t="shared" si="855"/>
        <v>1953353</v>
      </c>
      <c r="V380" s="1003">
        <f t="shared" si="855"/>
        <v>0</v>
      </c>
      <c r="W380" s="1003">
        <f t="shared" si="855"/>
        <v>0</v>
      </c>
      <c r="X380" s="1003">
        <f t="shared" si="855"/>
        <v>0</v>
      </c>
    </row>
    <row r="381" spans="1:24" ht="15.6" customHeight="1">
      <c r="A381" s="1014"/>
      <c r="B381" s="1014"/>
      <c r="C381" s="1014"/>
      <c r="D381" s="1014"/>
      <c r="E381" s="1014"/>
      <c r="F381" s="1014"/>
      <c r="G381" s="1014"/>
      <c r="H381" s="561">
        <f t="shared" ref="H381:I384" si="856">H346+H351+H356+H366+H371+H376+H361</f>
        <v>199797977</v>
      </c>
      <c r="I381" s="561">
        <f t="shared" si="856"/>
        <v>95066901</v>
      </c>
      <c r="J381" s="1002"/>
      <c r="K381" s="1003"/>
      <c r="L381" s="1003"/>
      <c r="M381" s="1003"/>
      <c r="N381" s="1003"/>
      <c r="O381" s="1003"/>
      <c r="P381" s="1003"/>
      <c r="Q381" s="1003"/>
      <c r="R381" s="1003"/>
      <c r="S381" s="1003"/>
      <c r="T381" s="1003"/>
      <c r="U381" s="1003"/>
      <c r="V381" s="1003"/>
      <c r="W381" s="1003"/>
      <c r="X381" s="1003"/>
    </row>
    <row r="382" spans="1:24" ht="15.6" customHeight="1">
      <c r="A382" s="1014"/>
      <c r="B382" s="1014"/>
      <c r="C382" s="1014"/>
      <c r="D382" s="1014"/>
      <c r="E382" s="1014"/>
      <c r="F382" s="1014"/>
      <c r="G382" s="1014"/>
      <c r="H382" s="561">
        <f t="shared" si="856"/>
        <v>0</v>
      </c>
      <c r="I382" s="561">
        <f t="shared" si="856"/>
        <v>0</v>
      </c>
      <c r="J382" s="555" t="s">
        <v>14</v>
      </c>
      <c r="K382" s="556">
        <f>K347+K352+K357+K362+K367+K372+K377</f>
        <v>-9750498</v>
      </c>
      <c r="L382" s="556">
        <f t="shared" ref="L382:X382" si="857">L347+L352+L357+L362+L367+L372+L377</f>
        <v>-8287927</v>
      </c>
      <c r="M382" s="556">
        <f t="shared" si="857"/>
        <v>-123663</v>
      </c>
      <c r="N382" s="556">
        <f t="shared" si="857"/>
        <v>-8164264</v>
      </c>
      <c r="O382" s="556">
        <f t="shared" si="857"/>
        <v>-1462571</v>
      </c>
      <c r="P382" s="556">
        <f t="shared" si="857"/>
        <v>0</v>
      </c>
      <c r="Q382" s="556">
        <f t="shared" si="857"/>
        <v>0</v>
      </c>
      <c r="R382" s="556">
        <f t="shared" si="857"/>
        <v>0</v>
      </c>
      <c r="S382" s="556">
        <f t="shared" si="857"/>
        <v>-1462571</v>
      </c>
      <c r="T382" s="556">
        <f t="shared" si="857"/>
        <v>-21819</v>
      </c>
      <c r="U382" s="556">
        <f t="shared" si="857"/>
        <v>-1440752</v>
      </c>
      <c r="V382" s="556">
        <f t="shared" si="857"/>
        <v>0</v>
      </c>
      <c r="W382" s="556">
        <f t="shared" si="857"/>
        <v>0</v>
      </c>
      <c r="X382" s="556">
        <f t="shared" si="857"/>
        <v>0</v>
      </c>
    </row>
    <row r="383" spans="1:24" ht="15.6" customHeight="1">
      <c r="A383" s="1014"/>
      <c r="B383" s="1014"/>
      <c r="C383" s="1014"/>
      <c r="D383" s="1014"/>
      <c r="E383" s="1014"/>
      <c r="F383" s="1014"/>
      <c r="G383" s="1014"/>
      <c r="H383" s="561">
        <f t="shared" si="856"/>
        <v>35258470</v>
      </c>
      <c r="I383" s="561">
        <f t="shared" si="856"/>
        <v>16776512</v>
      </c>
      <c r="J383" s="1001" t="s">
        <v>15</v>
      </c>
      <c r="K383" s="1003">
        <f>K380+K382</f>
        <v>66740088</v>
      </c>
      <c r="L383" s="1003">
        <f t="shared" ref="L383:X383" si="858">L380+L382</f>
        <v>56729073</v>
      </c>
      <c r="M383" s="1003">
        <f t="shared" si="858"/>
        <v>53824337</v>
      </c>
      <c r="N383" s="1003">
        <f t="shared" si="858"/>
        <v>2904736</v>
      </c>
      <c r="O383" s="1003">
        <f t="shared" si="858"/>
        <v>10011015</v>
      </c>
      <c r="P383" s="1003">
        <f t="shared" si="858"/>
        <v>0</v>
      </c>
      <c r="Q383" s="1003">
        <f t="shared" si="858"/>
        <v>0</v>
      </c>
      <c r="R383" s="1003">
        <f t="shared" si="858"/>
        <v>0</v>
      </c>
      <c r="S383" s="1003">
        <f t="shared" si="858"/>
        <v>10011015</v>
      </c>
      <c r="T383" s="1003">
        <f t="shared" si="858"/>
        <v>9498414</v>
      </c>
      <c r="U383" s="1003">
        <f t="shared" si="858"/>
        <v>512601</v>
      </c>
      <c r="V383" s="1003">
        <f t="shared" si="858"/>
        <v>0</v>
      </c>
      <c r="W383" s="1003">
        <f t="shared" si="858"/>
        <v>0</v>
      </c>
      <c r="X383" s="1003">
        <f t="shared" si="858"/>
        <v>0</v>
      </c>
    </row>
    <row r="384" spans="1:24" ht="15.6" customHeight="1">
      <c r="A384" s="1014"/>
      <c r="B384" s="1014"/>
      <c r="C384" s="1014"/>
      <c r="D384" s="1014"/>
      <c r="E384" s="1014"/>
      <c r="F384" s="1014"/>
      <c r="G384" s="1014"/>
      <c r="H384" s="561">
        <f t="shared" si="856"/>
        <v>0</v>
      </c>
      <c r="I384" s="561">
        <f t="shared" si="856"/>
        <v>0</v>
      </c>
      <c r="J384" s="1002"/>
      <c r="K384" s="1003"/>
      <c r="L384" s="1003"/>
      <c r="M384" s="1003"/>
      <c r="N384" s="1003"/>
      <c r="O384" s="1003"/>
      <c r="P384" s="1003"/>
      <c r="Q384" s="1003"/>
      <c r="R384" s="1003"/>
      <c r="S384" s="1003"/>
      <c r="T384" s="1003"/>
      <c r="U384" s="1003"/>
      <c r="V384" s="1003"/>
      <c r="W384" s="1003"/>
      <c r="X384" s="1003"/>
    </row>
    <row r="385" spans="1:25" s="563" customFormat="1" ht="4.5" customHeight="1">
      <c r="A385" s="955"/>
      <c r="B385" s="955"/>
      <c r="C385" s="955"/>
      <c r="D385" s="955"/>
      <c r="E385" s="955"/>
      <c r="F385" s="955"/>
      <c r="G385" s="955"/>
      <c r="H385" s="955"/>
      <c r="I385" s="955"/>
      <c r="J385" s="955"/>
      <c r="K385" s="955"/>
      <c r="L385" s="955"/>
      <c r="M385" s="955"/>
      <c r="N385" s="955"/>
      <c r="O385" s="955"/>
      <c r="P385" s="955"/>
      <c r="Q385" s="955"/>
      <c r="R385" s="955"/>
      <c r="S385" s="955"/>
      <c r="T385" s="955"/>
      <c r="U385" s="955"/>
      <c r="V385" s="955"/>
      <c r="W385" s="955"/>
      <c r="X385" s="955"/>
      <c r="Y385" s="562"/>
    </row>
    <row r="386" spans="1:25" s="545" customFormat="1" ht="30" customHeight="1">
      <c r="A386" s="1004" t="s">
        <v>1077</v>
      </c>
      <c r="B386" s="1005"/>
      <c r="C386" s="1005"/>
      <c r="D386" s="1005"/>
      <c r="E386" s="1005"/>
      <c r="F386" s="1005"/>
      <c r="G386" s="1005"/>
      <c r="H386" s="1005"/>
      <c r="I386" s="1005"/>
      <c r="J386" s="1005"/>
      <c r="K386" s="1005"/>
      <c r="L386" s="1005"/>
      <c r="M386" s="1005"/>
      <c r="N386" s="1005"/>
      <c r="O386" s="1005"/>
      <c r="P386" s="1005"/>
      <c r="Q386" s="1005"/>
      <c r="R386" s="1005"/>
      <c r="S386" s="1005"/>
      <c r="T386" s="1005"/>
      <c r="U386" s="1005"/>
      <c r="V386" s="1005"/>
      <c r="W386" s="1005"/>
      <c r="X386" s="1006"/>
      <c r="Y386" s="546"/>
    </row>
    <row r="387" spans="1:25" s="563" customFormat="1" ht="4.5" customHeight="1">
      <c r="A387" s="955"/>
      <c r="B387" s="955"/>
      <c r="C387" s="955"/>
      <c r="D387" s="955"/>
      <c r="E387" s="955"/>
      <c r="F387" s="955"/>
      <c r="G387" s="955"/>
      <c r="H387" s="955"/>
      <c r="I387" s="955"/>
      <c r="J387" s="955"/>
      <c r="K387" s="955"/>
      <c r="L387" s="955"/>
      <c r="M387" s="955"/>
      <c r="N387" s="955"/>
      <c r="O387" s="955"/>
      <c r="P387" s="955"/>
      <c r="Q387" s="955"/>
      <c r="R387" s="955"/>
      <c r="S387" s="955"/>
      <c r="T387" s="955"/>
      <c r="U387" s="955"/>
      <c r="V387" s="955"/>
      <c r="W387" s="955"/>
      <c r="X387" s="955"/>
      <c r="Y387" s="562"/>
    </row>
    <row r="388" spans="1:25" ht="14.25" customHeight="1">
      <c r="A388" s="955">
        <v>1</v>
      </c>
      <c r="B388" s="1015" t="s">
        <v>650</v>
      </c>
      <c r="C388" s="1016" t="s">
        <v>1078</v>
      </c>
      <c r="D388" s="990" t="s">
        <v>1079</v>
      </c>
      <c r="E388" s="954" t="s">
        <v>940</v>
      </c>
      <c r="F388" s="954" t="s">
        <v>1080</v>
      </c>
      <c r="G388" s="954" t="s">
        <v>1081</v>
      </c>
      <c r="H388" s="548" t="s">
        <v>220</v>
      </c>
      <c r="I388" s="548" t="s">
        <v>220</v>
      </c>
      <c r="J388" s="958" t="s">
        <v>13</v>
      </c>
      <c r="K388" s="950">
        <f t="shared" ref="K388" si="859">L388+O388</f>
        <v>0</v>
      </c>
      <c r="L388" s="950">
        <f t="shared" ref="L388" si="860">M388+N388</f>
        <v>0</v>
      </c>
      <c r="M388" s="951">
        <v>0</v>
      </c>
      <c r="N388" s="951">
        <v>0</v>
      </c>
      <c r="O388" s="950">
        <f t="shared" ref="O388" si="861">P388+S388+V388</f>
        <v>0</v>
      </c>
      <c r="P388" s="950">
        <f t="shared" ref="P388" si="862">Q388+R388</f>
        <v>0</v>
      </c>
      <c r="Q388" s="951">
        <v>0</v>
      </c>
      <c r="R388" s="951">
        <v>0</v>
      </c>
      <c r="S388" s="950">
        <f t="shared" ref="S388" si="863">T388+U388</f>
        <v>0</v>
      </c>
      <c r="T388" s="951">
        <v>0</v>
      </c>
      <c r="U388" s="951">
        <v>0</v>
      </c>
      <c r="V388" s="950">
        <f t="shared" ref="V388" si="864">W388+X388</f>
        <v>0</v>
      </c>
      <c r="W388" s="951">
        <v>0</v>
      </c>
      <c r="X388" s="951">
        <v>0</v>
      </c>
    </row>
    <row r="389" spans="1:25" ht="14.25" customHeight="1">
      <c r="A389" s="955"/>
      <c r="B389" s="1015"/>
      <c r="C389" s="1017"/>
      <c r="D389" s="990"/>
      <c r="E389" s="954"/>
      <c r="F389" s="954"/>
      <c r="G389" s="954"/>
      <c r="H389" s="548" t="s">
        <v>220</v>
      </c>
      <c r="I389" s="548" t="s">
        <v>220</v>
      </c>
      <c r="J389" s="959"/>
      <c r="K389" s="950"/>
      <c r="L389" s="950"/>
      <c r="M389" s="951"/>
      <c r="N389" s="951"/>
      <c r="O389" s="950"/>
      <c r="P389" s="950"/>
      <c r="Q389" s="951"/>
      <c r="R389" s="951"/>
      <c r="S389" s="950"/>
      <c r="T389" s="951"/>
      <c r="U389" s="951"/>
      <c r="V389" s="950"/>
      <c r="W389" s="951"/>
      <c r="X389" s="951"/>
    </row>
    <row r="390" spans="1:25" ht="14.25" customHeight="1">
      <c r="A390" s="955"/>
      <c r="B390" s="1015"/>
      <c r="C390" s="1017"/>
      <c r="D390" s="990"/>
      <c r="E390" s="954"/>
      <c r="F390" s="954"/>
      <c r="G390" s="954"/>
      <c r="H390" s="548" t="s">
        <v>220</v>
      </c>
      <c r="I390" s="548" t="s">
        <v>220</v>
      </c>
      <c r="J390" s="548" t="s">
        <v>14</v>
      </c>
      <c r="K390" s="550">
        <f t="shared" ref="K390" si="865">L390+O390</f>
        <v>31035</v>
      </c>
      <c r="L390" s="550">
        <f t="shared" ref="L390" si="866">M390+N390</f>
        <v>0</v>
      </c>
      <c r="M390" s="551">
        <v>0</v>
      </c>
      <c r="N390" s="551">
        <v>0</v>
      </c>
      <c r="O390" s="550">
        <f t="shared" ref="O390" si="867">P390+S390+V390</f>
        <v>31035</v>
      </c>
      <c r="P390" s="550">
        <f t="shared" ref="P390" si="868">Q390+R390</f>
        <v>31035</v>
      </c>
      <c r="Q390" s="551">
        <v>404</v>
      </c>
      <c r="R390" s="551">
        <v>30631</v>
      </c>
      <c r="S390" s="550">
        <f t="shared" ref="S390" si="869">T390+U390</f>
        <v>0</v>
      </c>
      <c r="T390" s="551">
        <v>0</v>
      </c>
      <c r="U390" s="551">
        <v>0</v>
      </c>
      <c r="V390" s="550">
        <f t="shared" ref="V390" si="870">W390+X390</f>
        <v>0</v>
      </c>
      <c r="W390" s="551">
        <v>0</v>
      </c>
      <c r="X390" s="551">
        <v>0</v>
      </c>
    </row>
    <row r="391" spans="1:25" ht="14.25" customHeight="1">
      <c r="A391" s="955"/>
      <c r="B391" s="1015"/>
      <c r="C391" s="1017"/>
      <c r="D391" s="990"/>
      <c r="E391" s="954"/>
      <c r="F391" s="954"/>
      <c r="G391" s="954"/>
      <c r="H391" s="548" t="s">
        <v>220</v>
      </c>
      <c r="I391" s="548" t="s">
        <v>220</v>
      </c>
      <c r="J391" s="958" t="s">
        <v>15</v>
      </c>
      <c r="K391" s="950">
        <f t="shared" ref="K391:X391" si="871">K388+K390</f>
        <v>31035</v>
      </c>
      <c r="L391" s="950">
        <f t="shared" si="871"/>
        <v>0</v>
      </c>
      <c r="M391" s="951">
        <f t="shared" si="871"/>
        <v>0</v>
      </c>
      <c r="N391" s="951">
        <f t="shared" si="871"/>
        <v>0</v>
      </c>
      <c r="O391" s="950">
        <f t="shared" si="871"/>
        <v>31035</v>
      </c>
      <c r="P391" s="950">
        <f t="shared" si="871"/>
        <v>31035</v>
      </c>
      <c r="Q391" s="951">
        <f t="shared" si="871"/>
        <v>404</v>
      </c>
      <c r="R391" s="951">
        <f t="shared" si="871"/>
        <v>30631</v>
      </c>
      <c r="S391" s="950">
        <f t="shared" si="871"/>
        <v>0</v>
      </c>
      <c r="T391" s="951">
        <f t="shared" si="871"/>
        <v>0</v>
      </c>
      <c r="U391" s="951">
        <f t="shared" si="871"/>
        <v>0</v>
      </c>
      <c r="V391" s="950">
        <f t="shared" si="871"/>
        <v>0</v>
      </c>
      <c r="W391" s="951">
        <f t="shared" si="871"/>
        <v>0</v>
      </c>
      <c r="X391" s="951">
        <f t="shared" si="871"/>
        <v>0</v>
      </c>
    </row>
    <row r="392" spans="1:25" ht="14.25" customHeight="1">
      <c r="A392" s="955"/>
      <c r="B392" s="1015"/>
      <c r="C392" s="1018"/>
      <c r="D392" s="990"/>
      <c r="E392" s="954"/>
      <c r="F392" s="954"/>
      <c r="G392" s="954"/>
      <c r="H392" s="548" t="s">
        <v>220</v>
      </c>
      <c r="I392" s="548" t="s">
        <v>220</v>
      </c>
      <c r="J392" s="959"/>
      <c r="K392" s="950"/>
      <c r="L392" s="950"/>
      <c r="M392" s="951"/>
      <c r="N392" s="951"/>
      <c r="O392" s="950"/>
      <c r="P392" s="950"/>
      <c r="Q392" s="951"/>
      <c r="R392" s="951"/>
      <c r="S392" s="950"/>
      <c r="T392" s="951"/>
      <c r="U392" s="951"/>
      <c r="V392" s="950"/>
      <c r="W392" s="951"/>
      <c r="X392" s="951"/>
    </row>
    <row r="393" spans="1:25" ht="14.25" hidden="1" customHeight="1">
      <c r="A393" s="955">
        <v>1</v>
      </c>
      <c r="B393" s="1015" t="s">
        <v>655</v>
      </c>
      <c r="C393" s="1016" t="s">
        <v>1082</v>
      </c>
      <c r="D393" s="990" t="s">
        <v>654</v>
      </c>
      <c r="E393" s="954" t="s">
        <v>940</v>
      </c>
      <c r="F393" s="954" t="s">
        <v>1083</v>
      </c>
      <c r="G393" s="954" t="s">
        <v>1081</v>
      </c>
      <c r="H393" s="548" t="s">
        <v>220</v>
      </c>
      <c r="I393" s="548" t="s">
        <v>220</v>
      </c>
      <c r="J393" s="958" t="s">
        <v>13</v>
      </c>
      <c r="K393" s="950">
        <f t="shared" ref="K393" si="872">L393+O393</f>
        <v>556985</v>
      </c>
      <c r="L393" s="950">
        <f t="shared" ref="L393" si="873">M393+N393</f>
        <v>0</v>
      </c>
      <c r="M393" s="951">
        <v>0</v>
      </c>
      <c r="N393" s="951">
        <v>0</v>
      </c>
      <c r="O393" s="950">
        <f t="shared" ref="O393" si="874">P393+S393+V393</f>
        <v>556985</v>
      </c>
      <c r="P393" s="950">
        <f t="shared" ref="P393" si="875">Q393+R393</f>
        <v>556985</v>
      </c>
      <c r="Q393" s="951">
        <v>11140</v>
      </c>
      <c r="R393" s="951">
        <v>545845</v>
      </c>
      <c r="S393" s="950">
        <f t="shared" ref="S393" si="876">T393+U393</f>
        <v>0</v>
      </c>
      <c r="T393" s="951">
        <v>0</v>
      </c>
      <c r="U393" s="951">
        <v>0</v>
      </c>
      <c r="V393" s="950">
        <f t="shared" ref="V393" si="877">W393+X393</f>
        <v>0</v>
      </c>
      <c r="W393" s="951">
        <v>0</v>
      </c>
      <c r="X393" s="951">
        <v>0</v>
      </c>
    </row>
    <row r="394" spans="1:25" ht="14.25" hidden="1" customHeight="1">
      <c r="A394" s="955"/>
      <c r="B394" s="1015"/>
      <c r="C394" s="1017"/>
      <c r="D394" s="990"/>
      <c r="E394" s="954"/>
      <c r="F394" s="954"/>
      <c r="G394" s="954"/>
      <c r="H394" s="548" t="s">
        <v>220</v>
      </c>
      <c r="I394" s="548" t="s">
        <v>220</v>
      </c>
      <c r="J394" s="959"/>
      <c r="K394" s="950"/>
      <c r="L394" s="950"/>
      <c r="M394" s="951"/>
      <c r="N394" s="951"/>
      <c r="O394" s="950"/>
      <c r="P394" s="950"/>
      <c r="Q394" s="951"/>
      <c r="R394" s="951"/>
      <c r="S394" s="950"/>
      <c r="T394" s="951"/>
      <c r="U394" s="951"/>
      <c r="V394" s="950"/>
      <c r="W394" s="951"/>
      <c r="X394" s="951"/>
    </row>
    <row r="395" spans="1:25" ht="14.25" hidden="1" customHeight="1">
      <c r="A395" s="955"/>
      <c r="B395" s="1015"/>
      <c r="C395" s="1017"/>
      <c r="D395" s="990"/>
      <c r="E395" s="954"/>
      <c r="F395" s="954"/>
      <c r="G395" s="954"/>
      <c r="H395" s="548" t="s">
        <v>220</v>
      </c>
      <c r="I395" s="548" t="s">
        <v>220</v>
      </c>
      <c r="J395" s="548" t="s">
        <v>14</v>
      </c>
      <c r="K395" s="550">
        <f t="shared" ref="K395" si="878">L395+O395</f>
        <v>0</v>
      </c>
      <c r="L395" s="550">
        <f t="shared" ref="L395" si="879">M395+N395</f>
        <v>0</v>
      </c>
      <c r="M395" s="551">
        <v>0</v>
      </c>
      <c r="N395" s="551">
        <v>0</v>
      </c>
      <c r="O395" s="550">
        <f t="shared" ref="O395" si="880">P395+S395+V395</f>
        <v>0</v>
      </c>
      <c r="P395" s="550">
        <f t="shared" ref="P395" si="881">Q395+R395</f>
        <v>0</v>
      </c>
      <c r="Q395" s="551">
        <v>0</v>
      </c>
      <c r="R395" s="551">
        <v>0</v>
      </c>
      <c r="S395" s="550">
        <f t="shared" ref="S395" si="882">T395+U395</f>
        <v>0</v>
      </c>
      <c r="T395" s="551">
        <v>0</v>
      </c>
      <c r="U395" s="551">
        <v>0</v>
      </c>
      <c r="V395" s="550">
        <f t="shared" ref="V395" si="883">W395+X395</f>
        <v>0</v>
      </c>
      <c r="W395" s="551">
        <v>0</v>
      </c>
      <c r="X395" s="551">
        <v>0</v>
      </c>
    </row>
    <row r="396" spans="1:25" ht="14.25" hidden="1" customHeight="1">
      <c r="A396" s="955"/>
      <c r="B396" s="1015"/>
      <c r="C396" s="1017"/>
      <c r="D396" s="990"/>
      <c r="E396" s="954"/>
      <c r="F396" s="954"/>
      <c r="G396" s="954"/>
      <c r="H396" s="548" t="s">
        <v>220</v>
      </c>
      <c r="I396" s="548" t="s">
        <v>220</v>
      </c>
      <c r="J396" s="958" t="s">
        <v>15</v>
      </c>
      <c r="K396" s="950">
        <f t="shared" ref="K396:X396" si="884">K393+K395</f>
        <v>556985</v>
      </c>
      <c r="L396" s="950">
        <f t="shared" si="884"/>
        <v>0</v>
      </c>
      <c r="M396" s="951">
        <f t="shared" si="884"/>
        <v>0</v>
      </c>
      <c r="N396" s="951">
        <f t="shared" si="884"/>
        <v>0</v>
      </c>
      <c r="O396" s="950">
        <f t="shared" si="884"/>
        <v>556985</v>
      </c>
      <c r="P396" s="950">
        <f t="shared" si="884"/>
        <v>556985</v>
      </c>
      <c r="Q396" s="951">
        <f t="shared" si="884"/>
        <v>11140</v>
      </c>
      <c r="R396" s="951">
        <f t="shared" si="884"/>
        <v>545845</v>
      </c>
      <c r="S396" s="950">
        <f t="shared" si="884"/>
        <v>0</v>
      </c>
      <c r="T396" s="951">
        <f t="shared" si="884"/>
        <v>0</v>
      </c>
      <c r="U396" s="951">
        <f t="shared" si="884"/>
        <v>0</v>
      </c>
      <c r="V396" s="950">
        <f t="shared" si="884"/>
        <v>0</v>
      </c>
      <c r="W396" s="951">
        <f t="shared" si="884"/>
        <v>0</v>
      </c>
      <c r="X396" s="951">
        <f t="shared" si="884"/>
        <v>0</v>
      </c>
    </row>
    <row r="397" spans="1:25" ht="14.25" hidden="1" customHeight="1">
      <c r="A397" s="955"/>
      <c r="B397" s="1015"/>
      <c r="C397" s="1018"/>
      <c r="D397" s="990"/>
      <c r="E397" s="954"/>
      <c r="F397" s="954"/>
      <c r="G397" s="954"/>
      <c r="H397" s="548" t="s">
        <v>220</v>
      </c>
      <c r="I397" s="548" t="s">
        <v>220</v>
      </c>
      <c r="J397" s="959"/>
      <c r="K397" s="950"/>
      <c r="L397" s="950"/>
      <c r="M397" s="951"/>
      <c r="N397" s="951"/>
      <c r="O397" s="950"/>
      <c r="P397" s="950"/>
      <c r="Q397" s="951"/>
      <c r="R397" s="951"/>
      <c r="S397" s="950"/>
      <c r="T397" s="951"/>
      <c r="U397" s="951"/>
      <c r="V397" s="950"/>
      <c r="W397" s="951"/>
      <c r="X397" s="951"/>
    </row>
    <row r="398" spans="1:25" ht="14.25" hidden="1" customHeight="1">
      <c r="A398" s="955">
        <v>2</v>
      </c>
      <c r="B398" s="989" t="s">
        <v>710</v>
      </c>
      <c r="C398" s="1016" t="s">
        <v>1078</v>
      </c>
      <c r="D398" s="990" t="s">
        <v>709</v>
      </c>
      <c r="E398" s="954" t="s">
        <v>940</v>
      </c>
      <c r="F398" s="954" t="s">
        <v>1049</v>
      </c>
      <c r="G398" s="954" t="s">
        <v>1081</v>
      </c>
      <c r="H398" s="548" t="s">
        <v>220</v>
      </c>
      <c r="I398" s="548" t="s">
        <v>220</v>
      </c>
      <c r="J398" s="958" t="s">
        <v>13</v>
      </c>
      <c r="K398" s="950">
        <f t="shared" ref="K398" si="885">L398+O398</f>
        <v>446832</v>
      </c>
      <c r="L398" s="950">
        <f t="shared" ref="L398" si="886">M398+N398</f>
        <v>0</v>
      </c>
      <c r="M398" s="951">
        <v>0</v>
      </c>
      <c r="N398" s="951">
        <v>0</v>
      </c>
      <c r="O398" s="950">
        <f t="shared" ref="O398" si="887">P398+S398+V398</f>
        <v>446832</v>
      </c>
      <c r="P398" s="950">
        <f t="shared" ref="P398" si="888">Q398+R398</f>
        <v>446832</v>
      </c>
      <c r="Q398" s="951">
        <v>0</v>
      </c>
      <c r="R398" s="951">
        <v>446832</v>
      </c>
      <c r="S398" s="950">
        <f t="shared" ref="S398" si="889">T398+U398</f>
        <v>0</v>
      </c>
      <c r="T398" s="951">
        <v>0</v>
      </c>
      <c r="U398" s="951">
        <v>0</v>
      </c>
      <c r="V398" s="950">
        <f t="shared" ref="V398" si="890">W398+X398</f>
        <v>0</v>
      </c>
      <c r="W398" s="951">
        <v>0</v>
      </c>
      <c r="X398" s="951">
        <v>0</v>
      </c>
    </row>
    <row r="399" spans="1:25" ht="14.25" hidden="1" customHeight="1">
      <c r="A399" s="955"/>
      <c r="B399" s="989"/>
      <c r="C399" s="1017"/>
      <c r="D399" s="990"/>
      <c r="E399" s="954"/>
      <c r="F399" s="954"/>
      <c r="G399" s="954"/>
      <c r="H399" s="548" t="s">
        <v>220</v>
      </c>
      <c r="I399" s="548" t="s">
        <v>220</v>
      </c>
      <c r="J399" s="959"/>
      <c r="K399" s="950"/>
      <c r="L399" s="950"/>
      <c r="M399" s="951"/>
      <c r="N399" s="951"/>
      <c r="O399" s="950"/>
      <c r="P399" s="950"/>
      <c r="Q399" s="951"/>
      <c r="R399" s="951"/>
      <c r="S399" s="950"/>
      <c r="T399" s="951"/>
      <c r="U399" s="951"/>
      <c r="V399" s="950"/>
      <c r="W399" s="951"/>
      <c r="X399" s="951"/>
    </row>
    <row r="400" spans="1:25" ht="14.25" hidden="1" customHeight="1">
      <c r="A400" s="955"/>
      <c r="B400" s="989"/>
      <c r="C400" s="1017"/>
      <c r="D400" s="990"/>
      <c r="E400" s="954"/>
      <c r="F400" s="954"/>
      <c r="G400" s="954"/>
      <c r="H400" s="548" t="s">
        <v>220</v>
      </c>
      <c r="I400" s="548" t="s">
        <v>220</v>
      </c>
      <c r="J400" s="548" t="s">
        <v>14</v>
      </c>
      <c r="K400" s="550">
        <f t="shared" ref="K400" si="891">L400+O400</f>
        <v>0</v>
      </c>
      <c r="L400" s="550">
        <f t="shared" ref="L400" si="892">M400+N400</f>
        <v>0</v>
      </c>
      <c r="M400" s="551">
        <v>0</v>
      </c>
      <c r="N400" s="551">
        <v>0</v>
      </c>
      <c r="O400" s="550">
        <f t="shared" ref="O400" si="893">P400+S400+V400</f>
        <v>0</v>
      </c>
      <c r="P400" s="550">
        <f t="shared" ref="P400" si="894">Q400+R400</f>
        <v>0</v>
      </c>
      <c r="Q400" s="551">
        <v>0</v>
      </c>
      <c r="R400" s="551">
        <v>0</v>
      </c>
      <c r="S400" s="550">
        <f t="shared" ref="S400" si="895">T400+U400</f>
        <v>0</v>
      </c>
      <c r="T400" s="551">
        <v>0</v>
      </c>
      <c r="U400" s="551">
        <v>0</v>
      </c>
      <c r="V400" s="550">
        <f t="shared" ref="V400" si="896">W400+X400</f>
        <v>0</v>
      </c>
      <c r="W400" s="551">
        <v>0</v>
      </c>
      <c r="X400" s="551">
        <v>0</v>
      </c>
    </row>
    <row r="401" spans="1:24" ht="14.25" hidden="1" customHeight="1">
      <c r="A401" s="955"/>
      <c r="B401" s="989"/>
      <c r="C401" s="1017"/>
      <c r="D401" s="990"/>
      <c r="E401" s="954"/>
      <c r="F401" s="954"/>
      <c r="G401" s="954"/>
      <c r="H401" s="548" t="s">
        <v>220</v>
      </c>
      <c r="I401" s="548" t="s">
        <v>220</v>
      </c>
      <c r="J401" s="958" t="s">
        <v>15</v>
      </c>
      <c r="K401" s="950">
        <f t="shared" ref="K401:X401" si="897">K398+K400</f>
        <v>446832</v>
      </c>
      <c r="L401" s="950">
        <f t="shared" si="897"/>
        <v>0</v>
      </c>
      <c r="M401" s="951">
        <f t="shared" si="897"/>
        <v>0</v>
      </c>
      <c r="N401" s="951">
        <f t="shared" si="897"/>
        <v>0</v>
      </c>
      <c r="O401" s="950">
        <f t="shared" si="897"/>
        <v>446832</v>
      </c>
      <c r="P401" s="950">
        <f t="shared" si="897"/>
        <v>446832</v>
      </c>
      <c r="Q401" s="951">
        <f t="shared" si="897"/>
        <v>0</v>
      </c>
      <c r="R401" s="951">
        <f t="shared" si="897"/>
        <v>446832</v>
      </c>
      <c r="S401" s="950">
        <f t="shared" si="897"/>
        <v>0</v>
      </c>
      <c r="T401" s="951">
        <f t="shared" si="897"/>
        <v>0</v>
      </c>
      <c r="U401" s="951">
        <f t="shared" si="897"/>
        <v>0</v>
      </c>
      <c r="V401" s="950">
        <f t="shared" si="897"/>
        <v>0</v>
      </c>
      <c r="W401" s="951">
        <f t="shared" si="897"/>
        <v>0</v>
      </c>
      <c r="X401" s="951">
        <f t="shared" si="897"/>
        <v>0</v>
      </c>
    </row>
    <row r="402" spans="1:24" ht="14.25" hidden="1" customHeight="1">
      <c r="A402" s="955"/>
      <c r="B402" s="989"/>
      <c r="C402" s="1018"/>
      <c r="D402" s="990"/>
      <c r="E402" s="954"/>
      <c r="F402" s="954"/>
      <c r="G402" s="954"/>
      <c r="H402" s="548" t="s">
        <v>220</v>
      </c>
      <c r="I402" s="548" t="s">
        <v>220</v>
      </c>
      <c r="J402" s="959"/>
      <c r="K402" s="950"/>
      <c r="L402" s="950"/>
      <c r="M402" s="951"/>
      <c r="N402" s="951"/>
      <c r="O402" s="950"/>
      <c r="P402" s="950"/>
      <c r="Q402" s="951"/>
      <c r="R402" s="951"/>
      <c r="S402" s="950"/>
      <c r="T402" s="951"/>
      <c r="U402" s="951"/>
      <c r="V402" s="950"/>
      <c r="W402" s="951"/>
      <c r="X402" s="951"/>
    </row>
    <row r="403" spans="1:24" ht="15.6" hidden="1" customHeight="1">
      <c r="A403" s="955">
        <v>1</v>
      </c>
      <c r="B403" s="1015" t="s">
        <v>718</v>
      </c>
      <c r="C403" s="1016" t="s">
        <v>1084</v>
      </c>
      <c r="D403" s="990" t="s">
        <v>717</v>
      </c>
      <c r="E403" s="954" t="s">
        <v>940</v>
      </c>
      <c r="F403" s="954" t="s">
        <v>1085</v>
      </c>
      <c r="G403" s="954" t="s">
        <v>1081</v>
      </c>
      <c r="H403" s="548" t="s">
        <v>220</v>
      </c>
      <c r="I403" s="548" t="s">
        <v>220</v>
      </c>
      <c r="J403" s="958" t="s">
        <v>13</v>
      </c>
      <c r="K403" s="950">
        <f t="shared" ref="K403" si="898">L403+O403</f>
        <v>1037995</v>
      </c>
      <c r="L403" s="950">
        <f t="shared" ref="L403" si="899">M403+N403</f>
        <v>0</v>
      </c>
      <c r="M403" s="951">
        <v>0</v>
      </c>
      <c r="N403" s="951">
        <v>0</v>
      </c>
      <c r="O403" s="950">
        <f t="shared" ref="O403" si="900">P403+S403+V403</f>
        <v>1037995</v>
      </c>
      <c r="P403" s="950">
        <f t="shared" ref="P403" si="901">Q403+R403</f>
        <v>1037995</v>
      </c>
      <c r="Q403" s="951">
        <v>0</v>
      </c>
      <c r="R403" s="951">
        <v>1037995</v>
      </c>
      <c r="S403" s="950">
        <f t="shared" ref="S403" si="902">T403+U403</f>
        <v>0</v>
      </c>
      <c r="T403" s="951">
        <v>0</v>
      </c>
      <c r="U403" s="951">
        <v>0</v>
      </c>
      <c r="V403" s="950">
        <f t="shared" ref="V403" si="903">W403+X403</f>
        <v>0</v>
      </c>
      <c r="W403" s="951">
        <v>0</v>
      </c>
      <c r="X403" s="951">
        <v>0</v>
      </c>
    </row>
    <row r="404" spans="1:24" ht="15.6" hidden="1" customHeight="1">
      <c r="A404" s="955"/>
      <c r="B404" s="1015"/>
      <c r="C404" s="1017"/>
      <c r="D404" s="990"/>
      <c r="E404" s="954"/>
      <c r="F404" s="954"/>
      <c r="G404" s="954"/>
      <c r="H404" s="548" t="s">
        <v>220</v>
      </c>
      <c r="I404" s="548" t="s">
        <v>220</v>
      </c>
      <c r="J404" s="959"/>
      <c r="K404" s="950"/>
      <c r="L404" s="950"/>
      <c r="M404" s="951"/>
      <c r="N404" s="951"/>
      <c r="O404" s="950"/>
      <c r="P404" s="950"/>
      <c r="Q404" s="951"/>
      <c r="R404" s="951"/>
      <c r="S404" s="950"/>
      <c r="T404" s="951"/>
      <c r="U404" s="951"/>
      <c r="V404" s="950"/>
      <c r="W404" s="951"/>
      <c r="X404" s="951"/>
    </row>
    <row r="405" spans="1:24" ht="15.6" hidden="1" customHeight="1">
      <c r="A405" s="955"/>
      <c r="B405" s="1015"/>
      <c r="C405" s="1017"/>
      <c r="D405" s="990"/>
      <c r="E405" s="954"/>
      <c r="F405" s="954"/>
      <c r="G405" s="954"/>
      <c r="H405" s="548" t="s">
        <v>220</v>
      </c>
      <c r="I405" s="548" t="s">
        <v>220</v>
      </c>
      <c r="J405" s="548" t="s">
        <v>14</v>
      </c>
      <c r="K405" s="550">
        <f t="shared" ref="K405" si="904">L405+O405</f>
        <v>0</v>
      </c>
      <c r="L405" s="550">
        <f t="shared" ref="L405" si="905">M405+N405</f>
        <v>0</v>
      </c>
      <c r="M405" s="551">
        <v>0</v>
      </c>
      <c r="N405" s="551">
        <v>0</v>
      </c>
      <c r="O405" s="550">
        <f t="shared" ref="O405" si="906">P405+S405+V405</f>
        <v>0</v>
      </c>
      <c r="P405" s="550">
        <f t="shared" ref="P405" si="907">Q405+R405</f>
        <v>0</v>
      </c>
      <c r="Q405" s="551">
        <v>0</v>
      </c>
      <c r="R405" s="551">
        <v>0</v>
      </c>
      <c r="S405" s="550">
        <f t="shared" ref="S405" si="908">T405+U405</f>
        <v>0</v>
      </c>
      <c r="T405" s="551">
        <v>0</v>
      </c>
      <c r="U405" s="551">
        <v>0</v>
      </c>
      <c r="V405" s="550">
        <f t="shared" ref="V405" si="909">W405+X405</f>
        <v>0</v>
      </c>
      <c r="W405" s="551">
        <v>0</v>
      </c>
      <c r="X405" s="551">
        <v>0</v>
      </c>
    </row>
    <row r="406" spans="1:24" ht="15.6" hidden="1" customHeight="1">
      <c r="A406" s="955"/>
      <c r="B406" s="1015"/>
      <c r="C406" s="1017"/>
      <c r="D406" s="990"/>
      <c r="E406" s="954"/>
      <c r="F406" s="954"/>
      <c r="G406" s="954"/>
      <c r="H406" s="548" t="s">
        <v>220</v>
      </c>
      <c r="I406" s="548" t="s">
        <v>220</v>
      </c>
      <c r="J406" s="958" t="s">
        <v>15</v>
      </c>
      <c r="K406" s="950">
        <f t="shared" ref="K406:X406" si="910">K403+K405</f>
        <v>1037995</v>
      </c>
      <c r="L406" s="950">
        <f t="shared" si="910"/>
        <v>0</v>
      </c>
      <c r="M406" s="951">
        <f t="shared" si="910"/>
        <v>0</v>
      </c>
      <c r="N406" s="951">
        <f t="shared" si="910"/>
        <v>0</v>
      </c>
      <c r="O406" s="950">
        <f t="shared" si="910"/>
        <v>1037995</v>
      </c>
      <c r="P406" s="950">
        <f t="shared" si="910"/>
        <v>1037995</v>
      </c>
      <c r="Q406" s="951">
        <f t="shared" si="910"/>
        <v>0</v>
      </c>
      <c r="R406" s="951">
        <f t="shared" si="910"/>
        <v>1037995</v>
      </c>
      <c r="S406" s="950">
        <f t="shared" si="910"/>
        <v>0</v>
      </c>
      <c r="T406" s="951">
        <f t="shared" si="910"/>
        <v>0</v>
      </c>
      <c r="U406" s="951">
        <f t="shared" si="910"/>
        <v>0</v>
      </c>
      <c r="V406" s="950">
        <f t="shared" si="910"/>
        <v>0</v>
      </c>
      <c r="W406" s="951">
        <f t="shared" si="910"/>
        <v>0</v>
      </c>
      <c r="X406" s="951">
        <f t="shared" si="910"/>
        <v>0</v>
      </c>
    </row>
    <row r="407" spans="1:24" ht="15.6" hidden="1" customHeight="1">
      <c r="A407" s="955"/>
      <c r="B407" s="1015"/>
      <c r="C407" s="1018"/>
      <c r="D407" s="990"/>
      <c r="E407" s="954"/>
      <c r="F407" s="954"/>
      <c r="G407" s="954"/>
      <c r="H407" s="548" t="s">
        <v>220</v>
      </c>
      <c r="I407" s="548" t="s">
        <v>220</v>
      </c>
      <c r="J407" s="959"/>
      <c r="K407" s="950"/>
      <c r="L407" s="950"/>
      <c r="M407" s="951"/>
      <c r="N407" s="951"/>
      <c r="O407" s="950"/>
      <c r="P407" s="950"/>
      <c r="Q407" s="951"/>
      <c r="R407" s="951"/>
      <c r="S407" s="950"/>
      <c r="T407" s="951"/>
      <c r="U407" s="951"/>
      <c r="V407" s="950"/>
      <c r="W407" s="951"/>
      <c r="X407" s="951"/>
    </row>
    <row r="408" spans="1:24" ht="15.6" hidden="1" customHeight="1">
      <c r="A408" s="955">
        <v>3</v>
      </c>
      <c r="B408" s="1015" t="s">
        <v>658</v>
      </c>
      <c r="C408" s="1016" t="s">
        <v>1086</v>
      </c>
      <c r="D408" s="990" t="s">
        <v>657</v>
      </c>
      <c r="E408" s="954" t="s">
        <v>940</v>
      </c>
      <c r="F408" s="954" t="s">
        <v>1087</v>
      </c>
      <c r="G408" s="954" t="s">
        <v>1081</v>
      </c>
      <c r="H408" s="548" t="s">
        <v>220</v>
      </c>
      <c r="I408" s="548" t="s">
        <v>220</v>
      </c>
      <c r="J408" s="958" t="s">
        <v>13</v>
      </c>
      <c r="K408" s="950">
        <f t="shared" ref="K408" si="911">L408+O408</f>
        <v>60878</v>
      </c>
      <c r="L408" s="950">
        <f t="shared" ref="L408" si="912">M408+N408</f>
        <v>0</v>
      </c>
      <c r="M408" s="951">
        <v>0</v>
      </c>
      <c r="N408" s="951">
        <v>0</v>
      </c>
      <c r="O408" s="950">
        <f t="shared" ref="O408" si="913">P408+S408+V408</f>
        <v>60878</v>
      </c>
      <c r="P408" s="950">
        <f t="shared" ref="P408" si="914">Q408+R408</f>
        <v>60878</v>
      </c>
      <c r="Q408" s="951">
        <v>0</v>
      </c>
      <c r="R408" s="951">
        <v>60878</v>
      </c>
      <c r="S408" s="950">
        <f t="shared" ref="S408" si="915">T408+U408</f>
        <v>0</v>
      </c>
      <c r="T408" s="951">
        <v>0</v>
      </c>
      <c r="U408" s="951">
        <v>0</v>
      </c>
      <c r="V408" s="950">
        <f t="shared" ref="V408" si="916">W408+X408</f>
        <v>0</v>
      </c>
      <c r="W408" s="951">
        <v>0</v>
      </c>
      <c r="X408" s="951">
        <v>0</v>
      </c>
    </row>
    <row r="409" spans="1:24" ht="15.6" hidden="1" customHeight="1">
      <c r="A409" s="955"/>
      <c r="B409" s="1015"/>
      <c r="C409" s="1017"/>
      <c r="D409" s="990"/>
      <c r="E409" s="954"/>
      <c r="F409" s="954"/>
      <c r="G409" s="954"/>
      <c r="H409" s="548" t="s">
        <v>220</v>
      </c>
      <c r="I409" s="548" t="s">
        <v>220</v>
      </c>
      <c r="J409" s="959"/>
      <c r="K409" s="950"/>
      <c r="L409" s="950"/>
      <c r="M409" s="951"/>
      <c r="N409" s="951"/>
      <c r="O409" s="950"/>
      <c r="P409" s="950"/>
      <c r="Q409" s="951"/>
      <c r="R409" s="951"/>
      <c r="S409" s="950"/>
      <c r="T409" s="951"/>
      <c r="U409" s="951"/>
      <c r="V409" s="950"/>
      <c r="W409" s="951"/>
      <c r="X409" s="951"/>
    </row>
    <row r="410" spans="1:24" ht="15.6" hidden="1" customHeight="1">
      <c r="A410" s="955"/>
      <c r="B410" s="1015"/>
      <c r="C410" s="1017"/>
      <c r="D410" s="990"/>
      <c r="E410" s="954"/>
      <c r="F410" s="954"/>
      <c r="G410" s="954"/>
      <c r="H410" s="548" t="s">
        <v>220</v>
      </c>
      <c r="I410" s="548" t="s">
        <v>220</v>
      </c>
      <c r="J410" s="548" t="s">
        <v>14</v>
      </c>
      <c r="K410" s="550">
        <f t="shared" ref="K410" si="917">L410+O410</f>
        <v>0</v>
      </c>
      <c r="L410" s="550">
        <f t="shared" ref="L410" si="918">M410+N410</f>
        <v>0</v>
      </c>
      <c r="M410" s="551">
        <v>0</v>
      </c>
      <c r="N410" s="551">
        <v>0</v>
      </c>
      <c r="O410" s="550">
        <f t="shared" ref="O410" si="919">P410+S410+V410</f>
        <v>0</v>
      </c>
      <c r="P410" s="550">
        <f t="shared" ref="P410" si="920">Q410+R410</f>
        <v>0</v>
      </c>
      <c r="Q410" s="551">
        <v>0</v>
      </c>
      <c r="R410" s="551">
        <v>0</v>
      </c>
      <c r="S410" s="550">
        <f t="shared" ref="S410" si="921">T410+U410</f>
        <v>0</v>
      </c>
      <c r="T410" s="551">
        <v>0</v>
      </c>
      <c r="U410" s="551">
        <v>0</v>
      </c>
      <c r="V410" s="550">
        <f t="shared" ref="V410" si="922">W410+X410</f>
        <v>0</v>
      </c>
      <c r="W410" s="551">
        <v>0</v>
      </c>
      <c r="X410" s="551">
        <v>0</v>
      </c>
    </row>
    <row r="411" spans="1:24" ht="15.6" hidden="1" customHeight="1">
      <c r="A411" s="955"/>
      <c r="B411" s="1015"/>
      <c r="C411" s="1017"/>
      <c r="D411" s="990"/>
      <c r="E411" s="954"/>
      <c r="F411" s="954"/>
      <c r="G411" s="954"/>
      <c r="H411" s="548" t="s">
        <v>220</v>
      </c>
      <c r="I411" s="548" t="s">
        <v>220</v>
      </c>
      <c r="J411" s="958" t="s">
        <v>15</v>
      </c>
      <c r="K411" s="950">
        <f t="shared" ref="K411:X411" si="923">K408+K410</f>
        <v>60878</v>
      </c>
      <c r="L411" s="950">
        <f t="shared" si="923"/>
        <v>0</v>
      </c>
      <c r="M411" s="951">
        <f t="shared" si="923"/>
        <v>0</v>
      </c>
      <c r="N411" s="951">
        <f t="shared" si="923"/>
        <v>0</v>
      </c>
      <c r="O411" s="950">
        <f t="shared" si="923"/>
        <v>60878</v>
      </c>
      <c r="P411" s="950">
        <f t="shared" si="923"/>
        <v>60878</v>
      </c>
      <c r="Q411" s="951">
        <f t="shared" si="923"/>
        <v>0</v>
      </c>
      <c r="R411" s="951">
        <f t="shared" si="923"/>
        <v>60878</v>
      </c>
      <c r="S411" s="950">
        <f t="shared" si="923"/>
        <v>0</v>
      </c>
      <c r="T411" s="951">
        <f t="shared" si="923"/>
        <v>0</v>
      </c>
      <c r="U411" s="951">
        <f t="shared" si="923"/>
        <v>0</v>
      </c>
      <c r="V411" s="950">
        <f t="shared" si="923"/>
        <v>0</v>
      </c>
      <c r="W411" s="951">
        <f t="shared" si="923"/>
        <v>0</v>
      </c>
      <c r="X411" s="951">
        <f t="shared" si="923"/>
        <v>0</v>
      </c>
    </row>
    <row r="412" spans="1:24" ht="15.6" hidden="1" customHeight="1">
      <c r="A412" s="955"/>
      <c r="B412" s="1015"/>
      <c r="C412" s="1018"/>
      <c r="D412" s="990"/>
      <c r="E412" s="954"/>
      <c r="F412" s="954"/>
      <c r="G412" s="954"/>
      <c r="H412" s="548" t="s">
        <v>220</v>
      </c>
      <c r="I412" s="548" t="s">
        <v>220</v>
      </c>
      <c r="J412" s="959"/>
      <c r="K412" s="950"/>
      <c r="L412" s="950"/>
      <c r="M412" s="951"/>
      <c r="N412" s="951"/>
      <c r="O412" s="950"/>
      <c r="P412" s="950"/>
      <c r="Q412" s="951"/>
      <c r="R412" s="951"/>
      <c r="S412" s="950"/>
      <c r="T412" s="951"/>
      <c r="U412" s="951"/>
      <c r="V412" s="950"/>
      <c r="W412" s="951"/>
      <c r="X412" s="951"/>
    </row>
    <row r="413" spans="1:24" ht="15.6" customHeight="1">
      <c r="A413" s="955">
        <v>2</v>
      </c>
      <c r="B413" s="989" t="s">
        <v>693</v>
      </c>
      <c r="C413" s="1016" t="s">
        <v>1088</v>
      </c>
      <c r="D413" s="990" t="s">
        <v>697</v>
      </c>
      <c r="E413" s="954" t="s">
        <v>940</v>
      </c>
      <c r="F413" s="954" t="s">
        <v>1089</v>
      </c>
      <c r="G413" s="954" t="s">
        <v>1081</v>
      </c>
      <c r="H413" s="548" t="s">
        <v>220</v>
      </c>
      <c r="I413" s="548" t="s">
        <v>220</v>
      </c>
      <c r="J413" s="958" t="s">
        <v>13</v>
      </c>
      <c r="K413" s="950">
        <f t="shared" ref="K413" si="924">L413+O413</f>
        <v>9778363</v>
      </c>
      <c r="L413" s="950">
        <f t="shared" ref="L413" si="925">M413+N413</f>
        <v>0</v>
      </c>
      <c r="M413" s="951">
        <v>0</v>
      </c>
      <c r="N413" s="951">
        <v>0</v>
      </c>
      <c r="O413" s="950">
        <f t="shared" ref="O413" si="926">P413+S413+V413</f>
        <v>9778363</v>
      </c>
      <c r="P413" s="950">
        <f t="shared" ref="P413" si="927">Q413+R413</f>
        <v>9778363</v>
      </c>
      <c r="Q413" s="951">
        <v>213463</v>
      </c>
      <c r="R413" s="951">
        <v>9564900</v>
      </c>
      <c r="S413" s="950">
        <f t="shared" ref="S413" si="928">T413+U413</f>
        <v>0</v>
      </c>
      <c r="T413" s="951">
        <v>0</v>
      </c>
      <c r="U413" s="951">
        <v>0</v>
      </c>
      <c r="V413" s="950">
        <f t="shared" ref="V413" si="929">W413+X413</f>
        <v>0</v>
      </c>
      <c r="W413" s="951">
        <v>0</v>
      </c>
      <c r="X413" s="951">
        <v>0</v>
      </c>
    </row>
    <row r="414" spans="1:24" ht="15.6" customHeight="1">
      <c r="A414" s="955"/>
      <c r="B414" s="989"/>
      <c r="C414" s="1017"/>
      <c r="D414" s="990"/>
      <c r="E414" s="954"/>
      <c r="F414" s="954"/>
      <c r="G414" s="954"/>
      <c r="H414" s="548" t="s">
        <v>220</v>
      </c>
      <c r="I414" s="548" t="s">
        <v>220</v>
      </c>
      <c r="J414" s="959"/>
      <c r="K414" s="950"/>
      <c r="L414" s="950"/>
      <c r="M414" s="951"/>
      <c r="N414" s="951"/>
      <c r="O414" s="950"/>
      <c r="P414" s="950"/>
      <c r="Q414" s="951"/>
      <c r="R414" s="951"/>
      <c r="S414" s="950"/>
      <c r="T414" s="951"/>
      <c r="U414" s="951"/>
      <c r="V414" s="950"/>
      <c r="W414" s="951"/>
      <c r="X414" s="951"/>
    </row>
    <row r="415" spans="1:24" ht="15.6" customHeight="1">
      <c r="A415" s="955"/>
      <c r="B415" s="989"/>
      <c r="C415" s="1017"/>
      <c r="D415" s="990"/>
      <c r="E415" s="954"/>
      <c r="F415" s="954"/>
      <c r="G415" s="954"/>
      <c r="H415" s="548" t="s">
        <v>220</v>
      </c>
      <c r="I415" s="548" t="s">
        <v>220</v>
      </c>
      <c r="J415" s="548" t="s">
        <v>14</v>
      </c>
      <c r="K415" s="550">
        <f t="shared" ref="K415" si="930">L415+O415</f>
        <v>13393329</v>
      </c>
      <c r="L415" s="550">
        <f t="shared" ref="L415" si="931">M415+N415</f>
        <v>0</v>
      </c>
      <c r="M415" s="551">
        <v>0</v>
      </c>
      <c r="N415" s="551">
        <v>0</v>
      </c>
      <c r="O415" s="550">
        <f t="shared" ref="O415" si="932">P415+S415+V415</f>
        <v>13393329</v>
      </c>
      <c r="P415" s="550">
        <f t="shared" ref="P415" si="933">Q415+R415</f>
        <v>13393329</v>
      </c>
      <c r="Q415" s="551">
        <v>0</v>
      </c>
      <c r="R415" s="551">
        <v>13393329</v>
      </c>
      <c r="S415" s="550">
        <f t="shared" ref="S415" si="934">T415+U415</f>
        <v>0</v>
      </c>
      <c r="T415" s="551">
        <v>0</v>
      </c>
      <c r="U415" s="551">
        <v>0</v>
      </c>
      <c r="V415" s="550">
        <f t="shared" ref="V415" si="935">W415+X415</f>
        <v>0</v>
      </c>
      <c r="W415" s="551">
        <v>0</v>
      </c>
      <c r="X415" s="551">
        <v>0</v>
      </c>
    </row>
    <row r="416" spans="1:24" ht="15.6" customHeight="1">
      <c r="A416" s="955"/>
      <c r="B416" s="989"/>
      <c r="C416" s="1017"/>
      <c r="D416" s="990"/>
      <c r="E416" s="954"/>
      <c r="F416" s="954"/>
      <c r="G416" s="954"/>
      <c r="H416" s="548" t="s">
        <v>220</v>
      </c>
      <c r="I416" s="548" t="s">
        <v>220</v>
      </c>
      <c r="J416" s="958" t="s">
        <v>15</v>
      </c>
      <c r="K416" s="950">
        <f t="shared" ref="K416:X416" si="936">K413+K415</f>
        <v>23171692</v>
      </c>
      <c r="L416" s="950">
        <f t="shared" si="936"/>
        <v>0</v>
      </c>
      <c r="M416" s="951">
        <f t="shared" si="936"/>
        <v>0</v>
      </c>
      <c r="N416" s="951">
        <f t="shared" si="936"/>
        <v>0</v>
      </c>
      <c r="O416" s="950">
        <f t="shared" si="936"/>
        <v>23171692</v>
      </c>
      <c r="P416" s="950">
        <f t="shared" si="936"/>
        <v>23171692</v>
      </c>
      <c r="Q416" s="951">
        <f t="shared" si="936"/>
        <v>213463</v>
      </c>
      <c r="R416" s="951">
        <f t="shared" si="936"/>
        <v>22958229</v>
      </c>
      <c r="S416" s="950">
        <f t="shared" si="936"/>
        <v>0</v>
      </c>
      <c r="T416" s="951">
        <f t="shared" si="936"/>
        <v>0</v>
      </c>
      <c r="U416" s="951">
        <f t="shared" si="936"/>
        <v>0</v>
      </c>
      <c r="V416" s="950">
        <f t="shared" si="936"/>
        <v>0</v>
      </c>
      <c r="W416" s="951">
        <f t="shared" si="936"/>
        <v>0</v>
      </c>
      <c r="X416" s="951">
        <f t="shared" si="936"/>
        <v>0</v>
      </c>
    </row>
    <row r="417" spans="1:24" ht="15.6" customHeight="1">
      <c r="A417" s="955"/>
      <c r="B417" s="989"/>
      <c r="C417" s="1018"/>
      <c r="D417" s="990"/>
      <c r="E417" s="954"/>
      <c r="F417" s="954"/>
      <c r="G417" s="954"/>
      <c r="H417" s="548" t="s">
        <v>220</v>
      </c>
      <c r="I417" s="548" t="s">
        <v>220</v>
      </c>
      <c r="J417" s="959"/>
      <c r="K417" s="950"/>
      <c r="L417" s="950"/>
      <c r="M417" s="951"/>
      <c r="N417" s="951"/>
      <c r="O417" s="950"/>
      <c r="P417" s="950"/>
      <c r="Q417" s="951"/>
      <c r="R417" s="951"/>
      <c r="S417" s="950"/>
      <c r="T417" s="951"/>
      <c r="U417" s="951"/>
      <c r="V417" s="950"/>
      <c r="W417" s="951"/>
      <c r="X417" s="951"/>
    </row>
    <row r="418" spans="1:24" ht="15.6" customHeight="1">
      <c r="A418" s="955">
        <v>3</v>
      </c>
      <c r="B418" s="989" t="s">
        <v>679</v>
      </c>
      <c r="C418" s="1016" t="s">
        <v>1090</v>
      </c>
      <c r="D418" s="990" t="s">
        <v>678</v>
      </c>
      <c r="E418" s="954" t="s">
        <v>940</v>
      </c>
      <c r="F418" s="954" t="s">
        <v>1030</v>
      </c>
      <c r="G418" s="954" t="s">
        <v>1081</v>
      </c>
      <c r="H418" s="548" t="s">
        <v>220</v>
      </c>
      <c r="I418" s="548" t="s">
        <v>220</v>
      </c>
      <c r="J418" s="958" t="s">
        <v>13</v>
      </c>
      <c r="K418" s="950">
        <f t="shared" ref="K418" si="937">L418+O418</f>
        <v>590609</v>
      </c>
      <c r="L418" s="950">
        <f t="shared" ref="L418" si="938">M418+N418</f>
        <v>0</v>
      </c>
      <c r="M418" s="951">
        <v>0</v>
      </c>
      <c r="N418" s="951">
        <v>0</v>
      </c>
      <c r="O418" s="950">
        <f t="shared" ref="O418" si="939">P418+S418+V418</f>
        <v>590609</v>
      </c>
      <c r="P418" s="950">
        <f t="shared" ref="P418" si="940">Q418+R418</f>
        <v>590609</v>
      </c>
      <c r="Q418" s="951">
        <v>6710</v>
      </c>
      <c r="R418" s="951">
        <v>583899</v>
      </c>
      <c r="S418" s="950">
        <f t="shared" ref="S418" si="941">T418+U418</f>
        <v>0</v>
      </c>
      <c r="T418" s="951">
        <v>0</v>
      </c>
      <c r="U418" s="951">
        <v>0</v>
      </c>
      <c r="V418" s="950">
        <f t="shared" ref="V418" si="942">W418+X418</f>
        <v>0</v>
      </c>
      <c r="W418" s="951">
        <v>0</v>
      </c>
      <c r="X418" s="951">
        <v>0</v>
      </c>
    </row>
    <row r="419" spans="1:24" ht="15.6" customHeight="1">
      <c r="A419" s="955"/>
      <c r="B419" s="989"/>
      <c r="C419" s="1017"/>
      <c r="D419" s="990"/>
      <c r="E419" s="954"/>
      <c r="F419" s="954"/>
      <c r="G419" s="954"/>
      <c r="H419" s="548" t="s">
        <v>220</v>
      </c>
      <c r="I419" s="548" t="s">
        <v>220</v>
      </c>
      <c r="J419" s="959"/>
      <c r="K419" s="950"/>
      <c r="L419" s="950"/>
      <c r="M419" s="951"/>
      <c r="N419" s="951"/>
      <c r="O419" s="950"/>
      <c r="P419" s="950"/>
      <c r="Q419" s="951"/>
      <c r="R419" s="951"/>
      <c r="S419" s="950"/>
      <c r="T419" s="951"/>
      <c r="U419" s="951"/>
      <c r="V419" s="950"/>
      <c r="W419" s="951"/>
      <c r="X419" s="951"/>
    </row>
    <row r="420" spans="1:24" ht="15.6" customHeight="1">
      <c r="A420" s="955"/>
      <c r="B420" s="989"/>
      <c r="C420" s="1017"/>
      <c r="D420" s="990"/>
      <c r="E420" s="954"/>
      <c r="F420" s="954"/>
      <c r="G420" s="954"/>
      <c r="H420" s="548" t="s">
        <v>220</v>
      </c>
      <c r="I420" s="548" t="s">
        <v>220</v>
      </c>
      <c r="J420" s="548" t="s">
        <v>14</v>
      </c>
      <c r="K420" s="550">
        <f t="shared" ref="K420" si="943">L420+O420</f>
        <v>108242</v>
      </c>
      <c r="L420" s="550">
        <f t="shared" ref="L420" si="944">M420+N420</f>
        <v>0</v>
      </c>
      <c r="M420" s="551">
        <v>0</v>
      </c>
      <c r="N420" s="551">
        <v>0</v>
      </c>
      <c r="O420" s="550">
        <f t="shared" ref="O420" si="945">P420+S420+V420</f>
        <v>108242</v>
      </c>
      <c r="P420" s="550">
        <f t="shared" ref="P420" si="946">Q420+R420</f>
        <v>108242</v>
      </c>
      <c r="Q420" s="551">
        <v>4881</v>
      </c>
      <c r="R420" s="551">
        <v>103361</v>
      </c>
      <c r="S420" s="550">
        <f t="shared" ref="S420" si="947">T420+U420</f>
        <v>0</v>
      </c>
      <c r="T420" s="551">
        <v>0</v>
      </c>
      <c r="U420" s="551">
        <v>0</v>
      </c>
      <c r="V420" s="550">
        <f t="shared" ref="V420" si="948">W420+X420</f>
        <v>0</v>
      </c>
      <c r="W420" s="551">
        <v>0</v>
      </c>
      <c r="X420" s="551">
        <v>0</v>
      </c>
    </row>
    <row r="421" spans="1:24" ht="15.6" customHeight="1">
      <c r="A421" s="955"/>
      <c r="B421" s="989"/>
      <c r="C421" s="1017"/>
      <c r="D421" s="990"/>
      <c r="E421" s="954"/>
      <c r="F421" s="954"/>
      <c r="G421" s="954"/>
      <c r="H421" s="548" t="s">
        <v>220</v>
      </c>
      <c r="I421" s="548" t="s">
        <v>220</v>
      </c>
      <c r="J421" s="958" t="s">
        <v>15</v>
      </c>
      <c r="K421" s="950">
        <f t="shared" ref="K421:X421" si="949">K418+K420</f>
        <v>698851</v>
      </c>
      <c r="L421" s="950">
        <f t="shared" si="949"/>
        <v>0</v>
      </c>
      <c r="M421" s="951">
        <f t="shared" si="949"/>
        <v>0</v>
      </c>
      <c r="N421" s="951">
        <f t="shared" si="949"/>
        <v>0</v>
      </c>
      <c r="O421" s="950">
        <f t="shared" si="949"/>
        <v>698851</v>
      </c>
      <c r="P421" s="950">
        <f t="shared" si="949"/>
        <v>698851</v>
      </c>
      <c r="Q421" s="951">
        <f t="shared" si="949"/>
        <v>11591</v>
      </c>
      <c r="R421" s="951">
        <f t="shared" si="949"/>
        <v>687260</v>
      </c>
      <c r="S421" s="950">
        <f t="shared" si="949"/>
        <v>0</v>
      </c>
      <c r="T421" s="951">
        <f t="shared" si="949"/>
        <v>0</v>
      </c>
      <c r="U421" s="951">
        <f t="shared" si="949"/>
        <v>0</v>
      </c>
      <c r="V421" s="950">
        <f t="shared" si="949"/>
        <v>0</v>
      </c>
      <c r="W421" s="951">
        <f t="shared" si="949"/>
        <v>0</v>
      </c>
      <c r="X421" s="951">
        <f t="shared" si="949"/>
        <v>0</v>
      </c>
    </row>
    <row r="422" spans="1:24" ht="15.6" customHeight="1">
      <c r="A422" s="955"/>
      <c r="B422" s="989"/>
      <c r="C422" s="1018"/>
      <c r="D422" s="990"/>
      <c r="E422" s="954"/>
      <c r="F422" s="954"/>
      <c r="G422" s="954"/>
      <c r="H422" s="548" t="s">
        <v>220</v>
      </c>
      <c r="I422" s="548" t="s">
        <v>220</v>
      </c>
      <c r="J422" s="959"/>
      <c r="K422" s="950"/>
      <c r="L422" s="950"/>
      <c r="M422" s="951"/>
      <c r="N422" s="951"/>
      <c r="O422" s="950"/>
      <c r="P422" s="950"/>
      <c r="Q422" s="951"/>
      <c r="R422" s="951"/>
      <c r="S422" s="950"/>
      <c r="T422" s="951"/>
      <c r="U422" s="951"/>
      <c r="V422" s="950"/>
      <c r="W422" s="951"/>
      <c r="X422" s="951"/>
    </row>
    <row r="423" spans="1:24" ht="15.6" hidden="1" customHeight="1">
      <c r="A423" s="955">
        <v>6</v>
      </c>
      <c r="B423" s="989" t="s">
        <v>648</v>
      </c>
      <c r="C423" s="1016" t="s">
        <v>1091</v>
      </c>
      <c r="D423" s="990" t="s">
        <v>647</v>
      </c>
      <c r="E423" s="954" t="s">
        <v>940</v>
      </c>
      <c r="F423" s="954" t="s">
        <v>1080</v>
      </c>
      <c r="G423" s="954" t="s">
        <v>1081</v>
      </c>
      <c r="H423" s="548" t="s">
        <v>220</v>
      </c>
      <c r="I423" s="548" t="s">
        <v>220</v>
      </c>
      <c r="J423" s="958" t="s">
        <v>13</v>
      </c>
      <c r="K423" s="950">
        <f t="shared" ref="K423" si="950">L423+O423</f>
        <v>4023353</v>
      </c>
      <c r="L423" s="950">
        <f t="shared" ref="L423" si="951">M423+N423</f>
        <v>0</v>
      </c>
      <c r="M423" s="951">
        <v>0</v>
      </c>
      <c r="N423" s="951">
        <v>0</v>
      </c>
      <c r="O423" s="950">
        <f t="shared" ref="O423" si="952">P423+S423+V423</f>
        <v>4023353</v>
      </c>
      <c r="P423" s="950">
        <f t="shared" ref="P423" si="953">Q423+R423</f>
        <v>4023353</v>
      </c>
      <c r="Q423" s="951">
        <v>12856</v>
      </c>
      <c r="R423" s="951">
        <v>4010497</v>
      </c>
      <c r="S423" s="950">
        <f t="shared" ref="S423" si="954">T423+U423</f>
        <v>0</v>
      </c>
      <c r="T423" s="951">
        <v>0</v>
      </c>
      <c r="U423" s="951">
        <v>0</v>
      </c>
      <c r="V423" s="950">
        <f t="shared" ref="V423" si="955">W423+X423</f>
        <v>0</v>
      </c>
      <c r="W423" s="951">
        <v>0</v>
      </c>
      <c r="X423" s="951">
        <v>0</v>
      </c>
    </row>
    <row r="424" spans="1:24" ht="15.6" hidden="1" customHeight="1">
      <c r="A424" s="955"/>
      <c r="B424" s="989"/>
      <c r="C424" s="1017"/>
      <c r="D424" s="990"/>
      <c r="E424" s="954"/>
      <c r="F424" s="954"/>
      <c r="G424" s="954"/>
      <c r="H424" s="548" t="s">
        <v>220</v>
      </c>
      <c r="I424" s="548" t="s">
        <v>220</v>
      </c>
      <c r="J424" s="959"/>
      <c r="K424" s="950"/>
      <c r="L424" s="950"/>
      <c r="M424" s="951"/>
      <c r="N424" s="951"/>
      <c r="O424" s="950"/>
      <c r="P424" s="950"/>
      <c r="Q424" s="951"/>
      <c r="R424" s="951"/>
      <c r="S424" s="950"/>
      <c r="T424" s="951"/>
      <c r="U424" s="951"/>
      <c r="V424" s="950"/>
      <c r="W424" s="951"/>
      <c r="X424" s="951"/>
    </row>
    <row r="425" spans="1:24" ht="15.6" hidden="1" customHeight="1">
      <c r="A425" s="955"/>
      <c r="B425" s="989"/>
      <c r="C425" s="1017"/>
      <c r="D425" s="990"/>
      <c r="E425" s="954"/>
      <c r="F425" s="954"/>
      <c r="G425" s="954"/>
      <c r="H425" s="548" t="s">
        <v>220</v>
      </c>
      <c r="I425" s="548" t="s">
        <v>220</v>
      </c>
      <c r="J425" s="548" t="s">
        <v>14</v>
      </c>
      <c r="K425" s="550">
        <f t="shared" ref="K425" si="956">L425+O425</f>
        <v>0</v>
      </c>
      <c r="L425" s="550">
        <f t="shared" ref="L425" si="957">M425+N425</f>
        <v>0</v>
      </c>
      <c r="M425" s="551">
        <v>0</v>
      </c>
      <c r="N425" s="551">
        <v>0</v>
      </c>
      <c r="O425" s="550">
        <f t="shared" ref="O425" si="958">P425+S425+V425</f>
        <v>0</v>
      </c>
      <c r="P425" s="550">
        <f t="shared" ref="P425" si="959">Q425+R425</f>
        <v>0</v>
      </c>
      <c r="Q425" s="551">
        <v>0</v>
      </c>
      <c r="R425" s="551">
        <v>0</v>
      </c>
      <c r="S425" s="550">
        <f t="shared" ref="S425" si="960">T425+U425</f>
        <v>0</v>
      </c>
      <c r="T425" s="551">
        <v>0</v>
      </c>
      <c r="U425" s="551">
        <v>0</v>
      </c>
      <c r="V425" s="550">
        <f t="shared" ref="V425" si="961">W425+X425</f>
        <v>0</v>
      </c>
      <c r="W425" s="551">
        <v>0</v>
      </c>
      <c r="X425" s="551">
        <v>0</v>
      </c>
    </row>
    <row r="426" spans="1:24" ht="15.6" hidden="1" customHeight="1">
      <c r="A426" s="955"/>
      <c r="B426" s="989"/>
      <c r="C426" s="1017"/>
      <c r="D426" s="990"/>
      <c r="E426" s="954"/>
      <c r="F426" s="954"/>
      <c r="G426" s="954"/>
      <c r="H426" s="548" t="s">
        <v>220</v>
      </c>
      <c r="I426" s="548" t="s">
        <v>220</v>
      </c>
      <c r="J426" s="958" t="s">
        <v>15</v>
      </c>
      <c r="K426" s="950">
        <f t="shared" ref="K426:X426" si="962">K423+K425</f>
        <v>4023353</v>
      </c>
      <c r="L426" s="950">
        <f t="shared" si="962"/>
        <v>0</v>
      </c>
      <c r="M426" s="951">
        <f t="shared" si="962"/>
        <v>0</v>
      </c>
      <c r="N426" s="951">
        <f t="shared" si="962"/>
        <v>0</v>
      </c>
      <c r="O426" s="950">
        <f t="shared" si="962"/>
        <v>4023353</v>
      </c>
      <c r="P426" s="950">
        <f t="shared" si="962"/>
        <v>4023353</v>
      </c>
      <c r="Q426" s="951">
        <f t="shared" si="962"/>
        <v>12856</v>
      </c>
      <c r="R426" s="951">
        <f t="shared" si="962"/>
        <v>4010497</v>
      </c>
      <c r="S426" s="950">
        <f t="shared" si="962"/>
        <v>0</v>
      </c>
      <c r="T426" s="951">
        <f t="shared" si="962"/>
        <v>0</v>
      </c>
      <c r="U426" s="951">
        <f t="shared" si="962"/>
        <v>0</v>
      </c>
      <c r="V426" s="950">
        <f t="shared" si="962"/>
        <v>0</v>
      </c>
      <c r="W426" s="951">
        <f t="shared" si="962"/>
        <v>0</v>
      </c>
      <c r="X426" s="951">
        <f t="shared" si="962"/>
        <v>0</v>
      </c>
    </row>
    <row r="427" spans="1:24" ht="15.6" hidden="1" customHeight="1">
      <c r="A427" s="955"/>
      <c r="B427" s="989"/>
      <c r="C427" s="1018"/>
      <c r="D427" s="990"/>
      <c r="E427" s="954"/>
      <c r="F427" s="954"/>
      <c r="G427" s="954"/>
      <c r="H427" s="548" t="s">
        <v>220</v>
      </c>
      <c r="I427" s="548" t="s">
        <v>220</v>
      </c>
      <c r="J427" s="959"/>
      <c r="K427" s="950"/>
      <c r="L427" s="950"/>
      <c r="M427" s="951"/>
      <c r="N427" s="951"/>
      <c r="O427" s="950"/>
      <c r="P427" s="950"/>
      <c r="Q427" s="951"/>
      <c r="R427" s="951"/>
      <c r="S427" s="950"/>
      <c r="T427" s="951"/>
      <c r="U427" s="951"/>
      <c r="V427" s="950"/>
      <c r="W427" s="951"/>
      <c r="X427" s="951"/>
    </row>
    <row r="428" spans="1:24" ht="15.6" hidden="1" customHeight="1">
      <c r="A428" s="955">
        <v>7</v>
      </c>
      <c r="B428" s="1015" t="s">
        <v>715</v>
      </c>
      <c r="C428" s="1016" t="s">
        <v>1092</v>
      </c>
      <c r="D428" s="990" t="s">
        <v>714</v>
      </c>
      <c r="E428" s="954" t="s">
        <v>940</v>
      </c>
      <c r="F428" s="954" t="s">
        <v>1093</v>
      </c>
      <c r="G428" s="954" t="s">
        <v>1081</v>
      </c>
      <c r="H428" s="548" t="s">
        <v>220</v>
      </c>
      <c r="I428" s="548" t="s">
        <v>220</v>
      </c>
      <c r="J428" s="958" t="s">
        <v>13</v>
      </c>
      <c r="K428" s="950">
        <f t="shared" ref="K428" si="963">L428+O428</f>
        <v>192660</v>
      </c>
      <c r="L428" s="950">
        <f t="shared" ref="L428" si="964">M428+N428</f>
        <v>0</v>
      </c>
      <c r="M428" s="951">
        <v>0</v>
      </c>
      <c r="N428" s="951">
        <v>0</v>
      </c>
      <c r="O428" s="950">
        <f t="shared" ref="O428" si="965">P428+S428+V428</f>
        <v>192660</v>
      </c>
      <c r="P428" s="950">
        <f t="shared" ref="P428" si="966">Q428+R428</f>
        <v>192660</v>
      </c>
      <c r="Q428" s="951">
        <v>0</v>
      </c>
      <c r="R428" s="951">
        <v>192660</v>
      </c>
      <c r="S428" s="950">
        <f t="shared" ref="S428" si="967">T428+U428</f>
        <v>0</v>
      </c>
      <c r="T428" s="951">
        <v>0</v>
      </c>
      <c r="U428" s="951">
        <v>0</v>
      </c>
      <c r="V428" s="950">
        <f t="shared" ref="V428" si="968">W428+X428</f>
        <v>0</v>
      </c>
      <c r="W428" s="951">
        <v>0</v>
      </c>
      <c r="X428" s="951">
        <v>0</v>
      </c>
    </row>
    <row r="429" spans="1:24" ht="15.6" hidden="1" customHeight="1">
      <c r="A429" s="955"/>
      <c r="B429" s="1015"/>
      <c r="C429" s="1017"/>
      <c r="D429" s="990"/>
      <c r="E429" s="954"/>
      <c r="F429" s="954"/>
      <c r="G429" s="954"/>
      <c r="H429" s="548" t="s">
        <v>220</v>
      </c>
      <c r="I429" s="548" t="s">
        <v>220</v>
      </c>
      <c r="J429" s="959"/>
      <c r="K429" s="950"/>
      <c r="L429" s="950"/>
      <c r="M429" s="951"/>
      <c r="N429" s="951"/>
      <c r="O429" s="950"/>
      <c r="P429" s="950"/>
      <c r="Q429" s="951"/>
      <c r="R429" s="951"/>
      <c r="S429" s="950"/>
      <c r="T429" s="951"/>
      <c r="U429" s="951"/>
      <c r="V429" s="950"/>
      <c r="W429" s="951"/>
      <c r="X429" s="951"/>
    </row>
    <row r="430" spans="1:24" ht="15.6" hidden="1" customHeight="1">
      <c r="A430" s="955"/>
      <c r="B430" s="1015"/>
      <c r="C430" s="1017"/>
      <c r="D430" s="990"/>
      <c r="E430" s="954"/>
      <c r="F430" s="954"/>
      <c r="G430" s="954"/>
      <c r="H430" s="548" t="s">
        <v>220</v>
      </c>
      <c r="I430" s="548" t="s">
        <v>220</v>
      </c>
      <c r="J430" s="548" t="s">
        <v>14</v>
      </c>
      <c r="K430" s="550">
        <f t="shared" ref="K430" si="969">L430+O430</f>
        <v>0</v>
      </c>
      <c r="L430" s="550">
        <f t="shared" ref="L430" si="970">M430+N430</f>
        <v>0</v>
      </c>
      <c r="M430" s="551">
        <v>0</v>
      </c>
      <c r="N430" s="551">
        <v>0</v>
      </c>
      <c r="O430" s="550">
        <f t="shared" ref="O430" si="971">P430+S430+V430</f>
        <v>0</v>
      </c>
      <c r="P430" s="550">
        <f t="shared" ref="P430" si="972">Q430+R430</f>
        <v>0</v>
      </c>
      <c r="Q430" s="551">
        <v>0</v>
      </c>
      <c r="R430" s="551">
        <v>0</v>
      </c>
      <c r="S430" s="550">
        <f t="shared" ref="S430" si="973">T430+U430</f>
        <v>0</v>
      </c>
      <c r="T430" s="551">
        <v>0</v>
      </c>
      <c r="U430" s="551">
        <v>0</v>
      </c>
      <c r="V430" s="550">
        <f t="shared" ref="V430" si="974">W430+X430</f>
        <v>0</v>
      </c>
      <c r="W430" s="551">
        <v>0</v>
      </c>
      <c r="X430" s="551">
        <v>0</v>
      </c>
    </row>
    <row r="431" spans="1:24" ht="15.6" hidden="1" customHeight="1">
      <c r="A431" s="955"/>
      <c r="B431" s="1015"/>
      <c r="C431" s="1017"/>
      <c r="D431" s="990"/>
      <c r="E431" s="954"/>
      <c r="F431" s="954"/>
      <c r="G431" s="954"/>
      <c r="H431" s="548" t="s">
        <v>220</v>
      </c>
      <c r="I431" s="548" t="s">
        <v>220</v>
      </c>
      <c r="J431" s="958" t="s">
        <v>15</v>
      </c>
      <c r="K431" s="950">
        <f t="shared" ref="K431:X431" si="975">K428+K430</f>
        <v>192660</v>
      </c>
      <c r="L431" s="950">
        <f t="shared" si="975"/>
        <v>0</v>
      </c>
      <c r="M431" s="951">
        <f t="shared" si="975"/>
        <v>0</v>
      </c>
      <c r="N431" s="951">
        <f t="shared" si="975"/>
        <v>0</v>
      </c>
      <c r="O431" s="950">
        <f t="shared" si="975"/>
        <v>192660</v>
      </c>
      <c r="P431" s="950">
        <f t="shared" si="975"/>
        <v>192660</v>
      </c>
      <c r="Q431" s="951">
        <f t="shared" si="975"/>
        <v>0</v>
      </c>
      <c r="R431" s="951">
        <f t="shared" si="975"/>
        <v>192660</v>
      </c>
      <c r="S431" s="950">
        <f t="shared" si="975"/>
        <v>0</v>
      </c>
      <c r="T431" s="951">
        <f t="shared" si="975"/>
        <v>0</v>
      </c>
      <c r="U431" s="951">
        <f t="shared" si="975"/>
        <v>0</v>
      </c>
      <c r="V431" s="950">
        <f t="shared" si="975"/>
        <v>0</v>
      </c>
      <c r="W431" s="951">
        <f t="shared" si="975"/>
        <v>0</v>
      </c>
      <c r="X431" s="951">
        <f t="shared" si="975"/>
        <v>0</v>
      </c>
    </row>
    <row r="432" spans="1:24" ht="15.6" hidden="1" customHeight="1">
      <c r="A432" s="955"/>
      <c r="B432" s="1015"/>
      <c r="C432" s="1018"/>
      <c r="D432" s="990"/>
      <c r="E432" s="954"/>
      <c r="F432" s="954"/>
      <c r="G432" s="954"/>
      <c r="H432" s="548" t="s">
        <v>220</v>
      </c>
      <c r="I432" s="548" t="s">
        <v>220</v>
      </c>
      <c r="J432" s="959"/>
      <c r="K432" s="950"/>
      <c r="L432" s="950"/>
      <c r="M432" s="951"/>
      <c r="N432" s="951"/>
      <c r="O432" s="950"/>
      <c r="P432" s="950"/>
      <c r="Q432" s="951"/>
      <c r="R432" s="951"/>
      <c r="S432" s="950"/>
      <c r="T432" s="951"/>
      <c r="U432" s="951"/>
      <c r="V432" s="950"/>
      <c r="W432" s="951"/>
      <c r="X432" s="951"/>
    </row>
    <row r="433" spans="1:24" ht="15.6" hidden="1" customHeight="1">
      <c r="A433" s="955">
        <v>8</v>
      </c>
      <c r="B433" s="1015" t="s">
        <v>712</v>
      </c>
      <c r="C433" s="1016" t="s">
        <v>1094</v>
      </c>
      <c r="D433" s="990" t="s">
        <v>711</v>
      </c>
      <c r="E433" s="954" t="s">
        <v>940</v>
      </c>
      <c r="F433" s="954" t="s">
        <v>1095</v>
      </c>
      <c r="G433" s="954" t="s">
        <v>1081</v>
      </c>
      <c r="H433" s="548" t="s">
        <v>220</v>
      </c>
      <c r="I433" s="548" t="s">
        <v>220</v>
      </c>
      <c r="J433" s="958" t="s">
        <v>13</v>
      </c>
      <c r="K433" s="950">
        <f t="shared" ref="K433" si="976">L433+O433</f>
        <v>19129</v>
      </c>
      <c r="L433" s="950">
        <f t="shared" ref="L433" si="977">M433+N433</f>
        <v>0</v>
      </c>
      <c r="M433" s="951">
        <v>0</v>
      </c>
      <c r="N433" s="951">
        <v>0</v>
      </c>
      <c r="O433" s="950">
        <f t="shared" ref="O433" si="978">P433+S433+V433</f>
        <v>19129</v>
      </c>
      <c r="P433" s="950">
        <f t="shared" ref="P433" si="979">Q433+R433</f>
        <v>19129</v>
      </c>
      <c r="Q433" s="951">
        <v>0</v>
      </c>
      <c r="R433" s="951">
        <v>19129</v>
      </c>
      <c r="S433" s="950">
        <f t="shared" ref="S433" si="980">T433+U433</f>
        <v>0</v>
      </c>
      <c r="T433" s="951">
        <v>0</v>
      </c>
      <c r="U433" s="951">
        <v>0</v>
      </c>
      <c r="V433" s="950">
        <f t="shared" ref="V433" si="981">W433+X433</f>
        <v>0</v>
      </c>
      <c r="W433" s="951">
        <v>0</v>
      </c>
      <c r="X433" s="951">
        <v>0</v>
      </c>
    </row>
    <row r="434" spans="1:24" ht="15.6" hidden="1" customHeight="1">
      <c r="A434" s="955"/>
      <c r="B434" s="1015"/>
      <c r="C434" s="1017"/>
      <c r="D434" s="990"/>
      <c r="E434" s="954"/>
      <c r="F434" s="954"/>
      <c r="G434" s="954"/>
      <c r="H434" s="548" t="s">
        <v>220</v>
      </c>
      <c r="I434" s="548" t="s">
        <v>220</v>
      </c>
      <c r="J434" s="959"/>
      <c r="K434" s="950"/>
      <c r="L434" s="950"/>
      <c r="M434" s="951"/>
      <c r="N434" s="951"/>
      <c r="O434" s="950"/>
      <c r="P434" s="950"/>
      <c r="Q434" s="951"/>
      <c r="R434" s="951"/>
      <c r="S434" s="950"/>
      <c r="T434" s="951"/>
      <c r="U434" s="951"/>
      <c r="V434" s="950"/>
      <c r="W434" s="951"/>
      <c r="X434" s="951"/>
    </row>
    <row r="435" spans="1:24" ht="15.6" hidden="1" customHeight="1">
      <c r="A435" s="955"/>
      <c r="B435" s="1015"/>
      <c r="C435" s="1017"/>
      <c r="D435" s="990"/>
      <c r="E435" s="954"/>
      <c r="F435" s="954"/>
      <c r="G435" s="954"/>
      <c r="H435" s="548" t="s">
        <v>220</v>
      </c>
      <c r="I435" s="548" t="s">
        <v>220</v>
      </c>
      <c r="J435" s="548" t="s">
        <v>14</v>
      </c>
      <c r="K435" s="550">
        <f t="shared" ref="K435" si="982">L435+O435</f>
        <v>0</v>
      </c>
      <c r="L435" s="550">
        <f t="shared" ref="L435" si="983">M435+N435</f>
        <v>0</v>
      </c>
      <c r="M435" s="551">
        <v>0</v>
      </c>
      <c r="N435" s="551">
        <v>0</v>
      </c>
      <c r="O435" s="550">
        <f t="shared" ref="O435" si="984">P435+S435+V435</f>
        <v>0</v>
      </c>
      <c r="P435" s="550">
        <f t="shared" ref="P435" si="985">Q435+R435</f>
        <v>0</v>
      </c>
      <c r="Q435" s="551">
        <v>0</v>
      </c>
      <c r="R435" s="551">
        <v>0</v>
      </c>
      <c r="S435" s="550">
        <f t="shared" ref="S435" si="986">T435+U435</f>
        <v>0</v>
      </c>
      <c r="T435" s="551">
        <v>0</v>
      </c>
      <c r="U435" s="551">
        <v>0</v>
      </c>
      <c r="V435" s="550">
        <f t="shared" ref="V435" si="987">W435+X435</f>
        <v>0</v>
      </c>
      <c r="W435" s="551">
        <v>0</v>
      </c>
      <c r="X435" s="551">
        <v>0</v>
      </c>
    </row>
    <row r="436" spans="1:24" ht="15.6" hidden="1" customHeight="1">
      <c r="A436" s="955"/>
      <c r="B436" s="1015"/>
      <c r="C436" s="1017"/>
      <c r="D436" s="990"/>
      <c r="E436" s="954"/>
      <c r="F436" s="954"/>
      <c r="G436" s="954"/>
      <c r="H436" s="548" t="s">
        <v>220</v>
      </c>
      <c r="I436" s="548" t="s">
        <v>220</v>
      </c>
      <c r="J436" s="958" t="s">
        <v>15</v>
      </c>
      <c r="K436" s="950">
        <f t="shared" ref="K436:X436" si="988">K433+K435</f>
        <v>19129</v>
      </c>
      <c r="L436" s="950">
        <f t="shared" si="988"/>
        <v>0</v>
      </c>
      <c r="M436" s="951">
        <f t="shared" si="988"/>
        <v>0</v>
      </c>
      <c r="N436" s="951">
        <f t="shared" si="988"/>
        <v>0</v>
      </c>
      <c r="O436" s="950">
        <f t="shared" si="988"/>
        <v>19129</v>
      </c>
      <c r="P436" s="950">
        <f t="shared" si="988"/>
        <v>19129</v>
      </c>
      <c r="Q436" s="951">
        <f t="shared" si="988"/>
        <v>0</v>
      </c>
      <c r="R436" s="951">
        <f t="shared" si="988"/>
        <v>19129</v>
      </c>
      <c r="S436" s="950">
        <f t="shared" si="988"/>
        <v>0</v>
      </c>
      <c r="T436" s="951">
        <f t="shared" si="988"/>
        <v>0</v>
      </c>
      <c r="U436" s="951">
        <f t="shared" si="988"/>
        <v>0</v>
      </c>
      <c r="V436" s="950">
        <f t="shared" si="988"/>
        <v>0</v>
      </c>
      <c r="W436" s="951">
        <f t="shared" si="988"/>
        <v>0</v>
      </c>
      <c r="X436" s="951">
        <f t="shared" si="988"/>
        <v>0</v>
      </c>
    </row>
    <row r="437" spans="1:24" ht="15.6" hidden="1" customHeight="1">
      <c r="A437" s="955"/>
      <c r="B437" s="1015"/>
      <c r="C437" s="1018"/>
      <c r="D437" s="990"/>
      <c r="E437" s="954"/>
      <c r="F437" s="954"/>
      <c r="G437" s="954"/>
      <c r="H437" s="548" t="s">
        <v>220</v>
      </c>
      <c r="I437" s="548" t="s">
        <v>220</v>
      </c>
      <c r="J437" s="959"/>
      <c r="K437" s="950"/>
      <c r="L437" s="950"/>
      <c r="M437" s="951"/>
      <c r="N437" s="951"/>
      <c r="O437" s="950"/>
      <c r="P437" s="950"/>
      <c r="Q437" s="951"/>
      <c r="R437" s="951"/>
      <c r="S437" s="950"/>
      <c r="T437" s="951"/>
      <c r="U437" s="951"/>
      <c r="V437" s="950"/>
      <c r="W437" s="951"/>
      <c r="X437" s="951"/>
    </row>
    <row r="438" spans="1:24" ht="15.6" customHeight="1">
      <c r="A438" s="955">
        <v>4</v>
      </c>
      <c r="B438" s="989" t="s">
        <v>646</v>
      </c>
      <c r="C438" s="1016" t="s">
        <v>1091</v>
      </c>
      <c r="D438" s="990" t="s">
        <v>645</v>
      </c>
      <c r="E438" s="954" t="s">
        <v>940</v>
      </c>
      <c r="F438" s="954" t="s">
        <v>1080</v>
      </c>
      <c r="G438" s="954" t="s">
        <v>1081</v>
      </c>
      <c r="H438" s="548" t="s">
        <v>220</v>
      </c>
      <c r="I438" s="548" t="s">
        <v>220</v>
      </c>
      <c r="J438" s="958" t="s">
        <v>13</v>
      </c>
      <c r="K438" s="950">
        <f t="shared" ref="K438" si="989">L438+O438</f>
        <v>3918637</v>
      </c>
      <c r="L438" s="950">
        <f t="shared" ref="L438" si="990">M438+N438</f>
        <v>0</v>
      </c>
      <c r="M438" s="951">
        <v>0</v>
      </c>
      <c r="N438" s="951">
        <v>0</v>
      </c>
      <c r="O438" s="950">
        <f t="shared" ref="O438" si="991">P438+S438+V438</f>
        <v>3918637</v>
      </c>
      <c r="P438" s="950">
        <f t="shared" ref="P438" si="992">Q438+R438</f>
        <v>3918637</v>
      </c>
      <c r="Q438" s="951">
        <v>13289</v>
      </c>
      <c r="R438" s="951">
        <v>3905348</v>
      </c>
      <c r="S438" s="950">
        <f t="shared" ref="S438" si="993">T438+U438</f>
        <v>0</v>
      </c>
      <c r="T438" s="951">
        <v>0</v>
      </c>
      <c r="U438" s="951">
        <v>0</v>
      </c>
      <c r="V438" s="950">
        <f t="shared" ref="V438" si="994">W438+X438</f>
        <v>0</v>
      </c>
      <c r="W438" s="951">
        <v>0</v>
      </c>
      <c r="X438" s="951">
        <v>0</v>
      </c>
    </row>
    <row r="439" spans="1:24" ht="15.6" customHeight="1">
      <c r="A439" s="955"/>
      <c r="B439" s="989"/>
      <c r="C439" s="1017"/>
      <c r="D439" s="990"/>
      <c r="E439" s="954"/>
      <c r="F439" s="954"/>
      <c r="G439" s="954"/>
      <c r="H439" s="548" t="s">
        <v>220</v>
      </c>
      <c r="I439" s="548" t="s">
        <v>220</v>
      </c>
      <c r="J439" s="959"/>
      <c r="K439" s="950"/>
      <c r="L439" s="950"/>
      <c r="M439" s="951"/>
      <c r="N439" s="951"/>
      <c r="O439" s="950"/>
      <c r="P439" s="950"/>
      <c r="Q439" s="951"/>
      <c r="R439" s="951"/>
      <c r="S439" s="950"/>
      <c r="T439" s="951"/>
      <c r="U439" s="951"/>
      <c r="V439" s="950"/>
      <c r="W439" s="951"/>
      <c r="X439" s="951"/>
    </row>
    <row r="440" spans="1:24" ht="15.6" customHeight="1">
      <c r="A440" s="955"/>
      <c r="B440" s="989"/>
      <c r="C440" s="1017"/>
      <c r="D440" s="990"/>
      <c r="E440" s="954"/>
      <c r="F440" s="954"/>
      <c r="G440" s="954"/>
      <c r="H440" s="548" t="s">
        <v>220</v>
      </c>
      <c r="I440" s="548" t="s">
        <v>220</v>
      </c>
      <c r="J440" s="548" t="s">
        <v>14</v>
      </c>
      <c r="K440" s="550">
        <f t="shared" ref="K440" si="995">L440+O440</f>
        <v>12</v>
      </c>
      <c r="L440" s="550">
        <f t="shared" ref="L440" si="996">M440+N440</f>
        <v>0</v>
      </c>
      <c r="M440" s="551">
        <v>0</v>
      </c>
      <c r="N440" s="551">
        <v>0</v>
      </c>
      <c r="O440" s="550">
        <f t="shared" ref="O440" si="997">P440+S440+V440</f>
        <v>12</v>
      </c>
      <c r="P440" s="550">
        <f t="shared" ref="P440" si="998">Q440+R440</f>
        <v>12</v>
      </c>
      <c r="Q440" s="551">
        <v>12</v>
      </c>
      <c r="R440" s="551">
        <v>0</v>
      </c>
      <c r="S440" s="550">
        <f t="shared" ref="S440" si="999">T440+U440</f>
        <v>0</v>
      </c>
      <c r="T440" s="551">
        <v>0</v>
      </c>
      <c r="U440" s="551">
        <v>0</v>
      </c>
      <c r="V440" s="550">
        <f t="shared" ref="V440" si="1000">W440+X440</f>
        <v>0</v>
      </c>
      <c r="W440" s="551">
        <v>0</v>
      </c>
      <c r="X440" s="551">
        <v>0</v>
      </c>
    </row>
    <row r="441" spans="1:24" ht="15.6" customHeight="1">
      <c r="A441" s="955"/>
      <c r="B441" s="989"/>
      <c r="C441" s="1017"/>
      <c r="D441" s="990"/>
      <c r="E441" s="954"/>
      <c r="F441" s="954"/>
      <c r="G441" s="954"/>
      <c r="H441" s="548" t="s">
        <v>220</v>
      </c>
      <c r="I441" s="548" t="s">
        <v>220</v>
      </c>
      <c r="J441" s="958" t="s">
        <v>15</v>
      </c>
      <c r="K441" s="950">
        <f t="shared" ref="K441:X441" si="1001">K438+K440</f>
        <v>3918649</v>
      </c>
      <c r="L441" s="950">
        <f t="shared" si="1001"/>
        <v>0</v>
      </c>
      <c r="M441" s="951">
        <f t="shared" si="1001"/>
        <v>0</v>
      </c>
      <c r="N441" s="951">
        <f t="shared" si="1001"/>
        <v>0</v>
      </c>
      <c r="O441" s="950">
        <f t="shared" si="1001"/>
        <v>3918649</v>
      </c>
      <c r="P441" s="950">
        <f t="shared" si="1001"/>
        <v>3918649</v>
      </c>
      <c r="Q441" s="951">
        <f t="shared" si="1001"/>
        <v>13301</v>
      </c>
      <c r="R441" s="951">
        <f t="shared" si="1001"/>
        <v>3905348</v>
      </c>
      <c r="S441" s="950">
        <f t="shared" si="1001"/>
        <v>0</v>
      </c>
      <c r="T441" s="951">
        <f t="shared" si="1001"/>
        <v>0</v>
      </c>
      <c r="U441" s="951">
        <f t="shared" si="1001"/>
        <v>0</v>
      </c>
      <c r="V441" s="950">
        <f t="shared" si="1001"/>
        <v>0</v>
      </c>
      <c r="W441" s="951">
        <f t="shared" si="1001"/>
        <v>0</v>
      </c>
      <c r="X441" s="951">
        <f t="shared" si="1001"/>
        <v>0</v>
      </c>
    </row>
    <row r="442" spans="1:24" ht="15.6" customHeight="1">
      <c r="A442" s="955"/>
      <c r="B442" s="989"/>
      <c r="C442" s="1018"/>
      <c r="D442" s="990"/>
      <c r="E442" s="954"/>
      <c r="F442" s="954"/>
      <c r="G442" s="954"/>
      <c r="H442" s="548" t="s">
        <v>220</v>
      </c>
      <c r="I442" s="548" t="s">
        <v>220</v>
      </c>
      <c r="J442" s="959"/>
      <c r="K442" s="950"/>
      <c r="L442" s="950"/>
      <c r="M442" s="951"/>
      <c r="N442" s="951"/>
      <c r="O442" s="950"/>
      <c r="P442" s="950"/>
      <c r="Q442" s="951"/>
      <c r="R442" s="951"/>
      <c r="S442" s="950"/>
      <c r="T442" s="951"/>
      <c r="U442" s="951"/>
      <c r="V442" s="950"/>
      <c r="W442" s="951"/>
      <c r="X442" s="951"/>
    </row>
    <row r="443" spans="1:24" ht="15.6" customHeight="1">
      <c r="A443" s="955">
        <v>5</v>
      </c>
      <c r="B443" s="1015" t="s">
        <v>644</v>
      </c>
      <c r="C443" s="1016" t="s">
        <v>1096</v>
      </c>
      <c r="D443" s="990" t="s">
        <v>643</v>
      </c>
      <c r="E443" s="954" t="s">
        <v>940</v>
      </c>
      <c r="F443" s="954" t="s">
        <v>1080</v>
      </c>
      <c r="G443" s="954" t="s">
        <v>1081</v>
      </c>
      <c r="H443" s="548" t="s">
        <v>220</v>
      </c>
      <c r="I443" s="548" t="s">
        <v>220</v>
      </c>
      <c r="J443" s="958" t="s">
        <v>13</v>
      </c>
      <c r="K443" s="950">
        <f t="shared" ref="K443" si="1002">L443+O443</f>
        <v>519183</v>
      </c>
      <c r="L443" s="950">
        <f t="shared" ref="L443" si="1003">M443+N443</f>
        <v>0</v>
      </c>
      <c r="M443" s="951">
        <v>0</v>
      </c>
      <c r="N443" s="951">
        <v>0</v>
      </c>
      <c r="O443" s="950">
        <f t="shared" ref="O443" si="1004">P443+S443+V443</f>
        <v>519183</v>
      </c>
      <c r="P443" s="950">
        <f t="shared" ref="P443" si="1005">Q443+R443</f>
        <v>519183</v>
      </c>
      <c r="Q443" s="951">
        <v>0</v>
      </c>
      <c r="R443" s="951">
        <v>519183</v>
      </c>
      <c r="S443" s="950">
        <f t="shared" ref="S443" si="1006">T443+U443</f>
        <v>0</v>
      </c>
      <c r="T443" s="951">
        <v>0</v>
      </c>
      <c r="U443" s="951">
        <v>0</v>
      </c>
      <c r="V443" s="950">
        <f t="shared" ref="V443" si="1007">W443+X443</f>
        <v>0</v>
      </c>
      <c r="W443" s="951">
        <v>0</v>
      </c>
      <c r="X443" s="951">
        <v>0</v>
      </c>
    </row>
    <row r="444" spans="1:24" ht="15.6" customHeight="1">
      <c r="A444" s="955"/>
      <c r="B444" s="1015"/>
      <c r="C444" s="1017"/>
      <c r="D444" s="990"/>
      <c r="E444" s="954"/>
      <c r="F444" s="954"/>
      <c r="G444" s="954"/>
      <c r="H444" s="548" t="s">
        <v>220</v>
      </c>
      <c r="I444" s="548" t="s">
        <v>220</v>
      </c>
      <c r="J444" s="959"/>
      <c r="K444" s="950"/>
      <c r="L444" s="950"/>
      <c r="M444" s="951"/>
      <c r="N444" s="951"/>
      <c r="O444" s="950"/>
      <c r="P444" s="950"/>
      <c r="Q444" s="951"/>
      <c r="R444" s="951"/>
      <c r="S444" s="950"/>
      <c r="T444" s="951"/>
      <c r="U444" s="951"/>
      <c r="V444" s="950"/>
      <c r="W444" s="951"/>
      <c r="X444" s="951"/>
    </row>
    <row r="445" spans="1:24" ht="15.6" customHeight="1">
      <c r="A445" s="955"/>
      <c r="B445" s="1015"/>
      <c r="C445" s="1017"/>
      <c r="D445" s="990"/>
      <c r="E445" s="954"/>
      <c r="F445" s="954"/>
      <c r="G445" s="954"/>
      <c r="H445" s="548" t="s">
        <v>220</v>
      </c>
      <c r="I445" s="548" t="s">
        <v>220</v>
      </c>
      <c r="J445" s="548" t="s">
        <v>14</v>
      </c>
      <c r="K445" s="550">
        <f t="shared" ref="K445" si="1008">L445+O445</f>
        <v>738298</v>
      </c>
      <c r="L445" s="550">
        <f t="shared" ref="L445" si="1009">M445+N445</f>
        <v>0</v>
      </c>
      <c r="M445" s="551">
        <v>0</v>
      </c>
      <c r="N445" s="551">
        <v>0</v>
      </c>
      <c r="O445" s="550">
        <f t="shared" ref="O445" si="1010">P445+S445+V445</f>
        <v>738298</v>
      </c>
      <c r="P445" s="550">
        <f t="shared" ref="P445" si="1011">Q445+R445</f>
        <v>738298</v>
      </c>
      <c r="Q445" s="551">
        <v>0</v>
      </c>
      <c r="R445" s="551">
        <v>738298</v>
      </c>
      <c r="S445" s="550">
        <f t="shared" ref="S445" si="1012">T445+U445</f>
        <v>0</v>
      </c>
      <c r="T445" s="551">
        <v>0</v>
      </c>
      <c r="U445" s="551">
        <v>0</v>
      </c>
      <c r="V445" s="550">
        <f t="shared" ref="V445" si="1013">W445+X445</f>
        <v>0</v>
      </c>
      <c r="W445" s="551">
        <v>0</v>
      </c>
      <c r="X445" s="551">
        <v>0</v>
      </c>
    </row>
    <row r="446" spans="1:24" ht="15.6" customHeight="1">
      <c r="A446" s="955"/>
      <c r="B446" s="1015"/>
      <c r="C446" s="1017"/>
      <c r="D446" s="990"/>
      <c r="E446" s="954"/>
      <c r="F446" s="954"/>
      <c r="G446" s="954"/>
      <c r="H446" s="548" t="s">
        <v>220</v>
      </c>
      <c r="I446" s="548" t="s">
        <v>220</v>
      </c>
      <c r="J446" s="958" t="s">
        <v>15</v>
      </c>
      <c r="K446" s="950">
        <f t="shared" ref="K446:X446" si="1014">K443+K445</f>
        <v>1257481</v>
      </c>
      <c r="L446" s="950">
        <f t="shared" si="1014"/>
        <v>0</v>
      </c>
      <c r="M446" s="951">
        <f t="shared" si="1014"/>
        <v>0</v>
      </c>
      <c r="N446" s="951">
        <f t="shared" si="1014"/>
        <v>0</v>
      </c>
      <c r="O446" s="950">
        <f t="shared" si="1014"/>
        <v>1257481</v>
      </c>
      <c r="P446" s="950">
        <f t="shared" si="1014"/>
        <v>1257481</v>
      </c>
      <c r="Q446" s="951">
        <f t="shared" si="1014"/>
        <v>0</v>
      </c>
      <c r="R446" s="951">
        <f t="shared" si="1014"/>
        <v>1257481</v>
      </c>
      <c r="S446" s="950">
        <f t="shared" si="1014"/>
        <v>0</v>
      </c>
      <c r="T446" s="951">
        <f t="shared" si="1014"/>
        <v>0</v>
      </c>
      <c r="U446" s="951">
        <f t="shared" si="1014"/>
        <v>0</v>
      </c>
      <c r="V446" s="950">
        <f t="shared" si="1014"/>
        <v>0</v>
      </c>
      <c r="W446" s="951">
        <f t="shared" si="1014"/>
        <v>0</v>
      </c>
      <c r="X446" s="951">
        <f t="shared" si="1014"/>
        <v>0</v>
      </c>
    </row>
    <row r="447" spans="1:24" ht="15.6" customHeight="1">
      <c r="A447" s="955"/>
      <c r="B447" s="1015"/>
      <c r="C447" s="1018"/>
      <c r="D447" s="990"/>
      <c r="E447" s="954"/>
      <c r="F447" s="954"/>
      <c r="G447" s="954"/>
      <c r="H447" s="548" t="s">
        <v>220</v>
      </c>
      <c r="I447" s="548" t="s">
        <v>220</v>
      </c>
      <c r="J447" s="959"/>
      <c r="K447" s="950"/>
      <c r="L447" s="950"/>
      <c r="M447" s="951"/>
      <c r="N447" s="951"/>
      <c r="O447" s="950"/>
      <c r="P447" s="950"/>
      <c r="Q447" s="951"/>
      <c r="R447" s="951"/>
      <c r="S447" s="950"/>
      <c r="T447" s="951"/>
      <c r="U447" s="951"/>
      <c r="V447" s="950"/>
      <c r="W447" s="951"/>
      <c r="X447" s="951"/>
    </row>
    <row r="448" spans="1:24" ht="15.75" hidden="1" customHeight="1">
      <c r="A448" s="955">
        <v>1</v>
      </c>
      <c r="B448" s="989" t="s">
        <v>668</v>
      </c>
      <c r="C448" s="955">
        <v>102</v>
      </c>
      <c r="D448" s="990" t="s">
        <v>667</v>
      </c>
      <c r="E448" s="981" t="s">
        <v>1026</v>
      </c>
      <c r="F448" s="981" t="s">
        <v>1041</v>
      </c>
      <c r="G448" s="954" t="s">
        <v>1081</v>
      </c>
      <c r="H448" s="548" t="s">
        <v>220</v>
      </c>
      <c r="I448" s="548" t="s">
        <v>220</v>
      </c>
      <c r="J448" s="958" t="s">
        <v>13</v>
      </c>
      <c r="K448" s="950">
        <f t="shared" ref="K448" si="1015">L448+O448</f>
        <v>56650</v>
      </c>
      <c r="L448" s="950">
        <f t="shared" ref="L448" si="1016">M448+N448</f>
        <v>0</v>
      </c>
      <c r="M448" s="951">
        <v>0</v>
      </c>
      <c r="N448" s="951">
        <v>0</v>
      </c>
      <c r="O448" s="950">
        <f t="shared" ref="O448" si="1017">P448+S448+V448</f>
        <v>56650</v>
      </c>
      <c r="P448" s="950">
        <f t="shared" ref="P448" si="1018">Q448+R448</f>
        <v>56650</v>
      </c>
      <c r="Q448" s="951">
        <v>56650</v>
      </c>
      <c r="R448" s="951">
        <v>0</v>
      </c>
      <c r="S448" s="950">
        <f t="shared" ref="S448" si="1019">T448+U448</f>
        <v>0</v>
      </c>
      <c r="T448" s="951">
        <v>0</v>
      </c>
      <c r="U448" s="951">
        <v>0</v>
      </c>
      <c r="V448" s="950">
        <f t="shared" ref="V448" si="1020">W448+X448</f>
        <v>0</v>
      </c>
      <c r="W448" s="951">
        <v>0</v>
      </c>
      <c r="X448" s="951">
        <v>0</v>
      </c>
    </row>
    <row r="449" spans="1:24" ht="15.75" hidden="1" customHeight="1">
      <c r="A449" s="955"/>
      <c r="B449" s="989"/>
      <c r="C449" s="955"/>
      <c r="D449" s="990"/>
      <c r="E449" s="982"/>
      <c r="F449" s="982"/>
      <c r="G449" s="954"/>
      <c r="H449" s="548" t="s">
        <v>220</v>
      </c>
      <c r="I449" s="548" t="s">
        <v>220</v>
      </c>
      <c r="J449" s="959"/>
      <c r="K449" s="950"/>
      <c r="L449" s="950"/>
      <c r="M449" s="951"/>
      <c r="N449" s="951"/>
      <c r="O449" s="950"/>
      <c r="P449" s="950"/>
      <c r="Q449" s="951"/>
      <c r="R449" s="951"/>
      <c r="S449" s="950"/>
      <c r="T449" s="951"/>
      <c r="U449" s="951"/>
      <c r="V449" s="950"/>
      <c r="W449" s="951"/>
      <c r="X449" s="951"/>
    </row>
    <row r="450" spans="1:24" ht="15.75" hidden="1" customHeight="1">
      <c r="A450" s="955"/>
      <c r="B450" s="989"/>
      <c r="C450" s="955"/>
      <c r="D450" s="990"/>
      <c r="E450" s="982"/>
      <c r="F450" s="982"/>
      <c r="G450" s="954"/>
      <c r="H450" s="548" t="s">
        <v>220</v>
      </c>
      <c r="I450" s="548" t="s">
        <v>220</v>
      </c>
      <c r="J450" s="548" t="s">
        <v>14</v>
      </c>
      <c r="K450" s="550">
        <f t="shared" ref="K450" si="1021">L450+O450</f>
        <v>0</v>
      </c>
      <c r="L450" s="550">
        <f t="shared" ref="L450" si="1022">M450+N450</f>
        <v>0</v>
      </c>
      <c r="M450" s="551">
        <v>0</v>
      </c>
      <c r="N450" s="551">
        <v>0</v>
      </c>
      <c r="O450" s="550">
        <f t="shared" ref="O450" si="1023">P450+S450+V450</f>
        <v>0</v>
      </c>
      <c r="P450" s="550">
        <f t="shared" ref="P450" si="1024">Q450+R450</f>
        <v>0</v>
      </c>
      <c r="Q450" s="551">
        <v>0</v>
      </c>
      <c r="R450" s="551">
        <v>0</v>
      </c>
      <c r="S450" s="550">
        <f t="shared" ref="S450" si="1025">T450+U450</f>
        <v>0</v>
      </c>
      <c r="T450" s="551">
        <v>0</v>
      </c>
      <c r="U450" s="551">
        <v>0</v>
      </c>
      <c r="V450" s="550">
        <f t="shared" ref="V450" si="1026">W450+X450</f>
        <v>0</v>
      </c>
      <c r="W450" s="551">
        <v>0</v>
      </c>
      <c r="X450" s="551">
        <v>0</v>
      </c>
    </row>
    <row r="451" spans="1:24" ht="15.75" hidden="1" customHeight="1">
      <c r="A451" s="955"/>
      <c r="B451" s="989"/>
      <c r="C451" s="955"/>
      <c r="D451" s="990"/>
      <c r="E451" s="982"/>
      <c r="F451" s="982"/>
      <c r="G451" s="954"/>
      <c r="H451" s="548" t="s">
        <v>220</v>
      </c>
      <c r="I451" s="548" t="s">
        <v>220</v>
      </c>
      <c r="J451" s="958" t="s">
        <v>15</v>
      </c>
      <c r="K451" s="950">
        <f t="shared" ref="K451:X451" si="1027">K448+K450</f>
        <v>56650</v>
      </c>
      <c r="L451" s="950">
        <f t="shared" si="1027"/>
        <v>0</v>
      </c>
      <c r="M451" s="951">
        <f t="shared" si="1027"/>
        <v>0</v>
      </c>
      <c r="N451" s="951">
        <f t="shared" si="1027"/>
        <v>0</v>
      </c>
      <c r="O451" s="950">
        <f t="shared" si="1027"/>
        <v>56650</v>
      </c>
      <c r="P451" s="950">
        <f t="shared" si="1027"/>
        <v>56650</v>
      </c>
      <c r="Q451" s="951">
        <f t="shared" si="1027"/>
        <v>56650</v>
      </c>
      <c r="R451" s="951">
        <f t="shared" si="1027"/>
        <v>0</v>
      </c>
      <c r="S451" s="950">
        <f t="shared" si="1027"/>
        <v>0</v>
      </c>
      <c r="T451" s="951">
        <f t="shared" si="1027"/>
        <v>0</v>
      </c>
      <c r="U451" s="951">
        <f t="shared" si="1027"/>
        <v>0</v>
      </c>
      <c r="V451" s="950">
        <f t="shared" si="1027"/>
        <v>0</v>
      </c>
      <c r="W451" s="951">
        <f t="shared" si="1027"/>
        <v>0</v>
      </c>
      <c r="X451" s="951">
        <f t="shared" si="1027"/>
        <v>0</v>
      </c>
    </row>
    <row r="452" spans="1:24" ht="15.75" hidden="1" customHeight="1">
      <c r="A452" s="955"/>
      <c r="B452" s="989"/>
      <c r="C452" s="955"/>
      <c r="D452" s="990"/>
      <c r="E452" s="983"/>
      <c r="F452" s="983"/>
      <c r="G452" s="954"/>
      <c r="H452" s="548" t="s">
        <v>220</v>
      </c>
      <c r="I452" s="548" t="s">
        <v>220</v>
      </c>
      <c r="J452" s="959"/>
      <c r="K452" s="950"/>
      <c r="L452" s="950"/>
      <c r="M452" s="951"/>
      <c r="N452" s="951"/>
      <c r="O452" s="950"/>
      <c r="P452" s="950"/>
      <c r="Q452" s="951"/>
      <c r="R452" s="951"/>
      <c r="S452" s="950"/>
      <c r="T452" s="951"/>
      <c r="U452" s="951"/>
      <c r="V452" s="950"/>
      <c r="W452" s="951"/>
      <c r="X452" s="951"/>
    </row>
    <row r="453" spans="1:24" ht="15.75" hidden="1" customHeight="1">
      <c r="A453" s="955">
        <v>2</v>
      </c>
      <c r="B453" s="989" t="s">
        <v>666</v>
      </c>
      <c r="C453" s="956" t="s">
        <v>1097</v>
      </c>
      <c r="D453" s="990" t="s">
        <v>665</v>
      </c>
      <c r="E453" s="981" t="s">
        <v>1026</v>
      </c>
      <c r="F453" s="981" t="s">
        <v>1041</v>
      </c>
      <c r="G453" s="954" t="s">
        <v>1081</v>
      </c>
      <c r="H453" s="548" t="s">
        <v>220</v>
      </c>
      <c r="I453" s="548" t="s">
        <v>220</v>
      </c>
      <c r="J453" s="958" t="s">
        <v>13</v>
      </c>
      <c r="K453" s="950">
        <f t="shared" ref="K453" si="1028">L453+O453</f>
        <v>525200</v>
      </c>
      <c r="L453" s="950">
        <f t="shared" ref="L453" si="1029">M453+N453</f>
        <v>0</v>
      </c>
      <c r="M453" s="951">
        <v>0</v>
      </c>
      <c r="N453" s="951">
        <v>0</v>
      </c>
      <c r="O453" s="950">
        <f t="shared" ref="O453" si="1030">P453+S453+V453</f>
        <v>525200</v>
      </c>
      <c r="P453" s="950">
        <f t="shared" ref="P453" si="1031">Q453+R453</f>
        <v>525200</v>
      </c>
      <c r="Q453" s="951">
        <v>525200</v>
      </c>
      <c r="R453" s="951">
        <v>0</v>
      </c>
      <c r="S453" s="950">
        <f t="shared" ref="S453" si="1032">T453+U453</f>
        <v>0</v>
      </c>
      <c r="T453" s="951">
        <v>0</v>
      </c>
      <c r="U453" s="951">
        <v>0</v>
      </c>
      <c r="V453" s="950">
        <f t="shared" ref="V453" si="1033">W453+X453</f>
        <v>0</v>
      </c>
      <c r="W453" s="951">
        <v>0</v>
      </c>
      <c r="X453" s="951">
        <v>0</v>
      </c>
    </row>
    <row r="454" spans="1:24" ht="15.75" hidden="1" customHeight="1">
      <c r="A454" s="955"/>
      <c r="B454" s="989"/>
      <c r="C454" s="956"/>
      <c r="D454" s="990"/>
      <c r="E454" s="982"/>
      <c r="F454" s="982"/>
      <c r="G454" s="954"/>
      <c r="H454" s="548" t="s">
        <v>220</v>
      </c>
      <c r="I454" s="548" t="s">
        <v>220</v>
      </c>
      <c r="J454" s="959"/>
      <c r="K454" s="950"/>
      <c r="L454" s="950"/>
      <c r="M454" s="951"/>
      <c r="N454" s="951"/>
      <c r="O454" s="950"/>
      <c r="P454" s="950"/>
      <c r="Q454" s="951"/>
      <c r="R454" s="951"/>
      <c r="S454" s="950"/>
      <c r="T454" s="951"/>
      <c r="U454" s="951"/>
      <c r="V454" s="950"/>
      <c r="W454" s="951"/>
      <c r="X454" s="951"/>
    </row>
    <row r="455" spans="1:24" ht="15.75" hidden="1" customHeight="1">
      <c r="A455" s="955"/>
      <c r="B455" s="989"/>
      <c r="C455" s="956"/>
      <c r="D455" s="990"/>
      <c r="E455" s="982"/>
      <c r="F455" s="982"/>
      <c r="G455" s="954"/>
      <c r="H455" s="548" t="s">
        <v>220</v>
      </c>
      <c r="I455" s="548" t="s">
        <v>220</v>
      </c>
      <c r="J455" s="548" t="s">
        <v>14</v>
      </c>
      <c r="K455" s="550">
        <f t="shared" ref="K455" si="1034">L455+O455</f>
        <v>0</v>
      </c>
      <c r="L455" s="550">
        <f t="shared" ref="L455" si="1035">M455+N455</f>
        <v>0</v>
      </c>
      <c r="M455" s="551">
        <v>0</v>
      </c>
      <c r="N455" s="551">
        <v>0</v>
      </c>
      <c r="O455" s="550">
        <f t="shared" ref="O455" si="1036">P455+S455+V455</f>
        <v>0</v>
      </c>
      <c r="P455" s="550">
        <f t="shared" ref="P455" si="1037">Q455+R455</f>
        <v>0</v>
      </c>
      <c r="Q455" s="551">
        <v>0</v>
      </c>
      <c r="R455" s="551">
        <v>0</v>
      </c>
      <c r="S455" s="550">
        <f t="shared" ref="S455" si="1038">T455+U455</f>
        <v>0</v>
      </c>
      <c r="T455" s="551">
        <v>0</v>
      </c>
      <c r="U455" s="551">
        <v>0</v>
      </c>
      <c r="V455" s="550">
        <f t="shared" ref="V455" si="1039">W455+X455</f>
        <v>0</v>
      </c>
      <c r="W455" s="551">
        <v>0</v>
      </c>
      <c r="X455" s="551">
        <v>0</v>
      </c>
    </row>
    <row r="456" spans="1:24" ht="15.75" hidden="1" customHeight="1">
      <c r="A456" s="955"/>
      <c r="B456" s="989"/>
      <c r="C456" s="956"/>
      <c r="D456" s="990"/>
      <c r="E456" s="982"/>
      <c r="F456" s="982"/>
      <c r="G456" s="954"/>
      <c r="H456" s="548" t="s">
        <v>220</v>
      </c>
      <c r="I456" s="548" t="s">
        <v>220</v>
      </c>
      <c r="J456" s="958" t="s">
        <v>15</v>
      </c>
      <c r="K456" s="950">
        <f t="shared" ref="K456:X456" si="1040">K453+K455</f>
        <v>525200</v>
      </c>
      <c r="L456" s="950">
        <f t="shared" si="1040"/>
        <v>0</v>
      </c>
      <c r="M456" s="951">
        <f t="shared" si="1040"/>
        <v>0</v>
      </c>
      <c r="N456" s="951">
        <f t="shared" si="1040"/>
        <v>0</v>
      </c>
      <c r="O456" s="950">
        <f t="shared" si="1040"/>
        <v>525200</v>
      </c>
      <c r="P456" s="950">
        <f t="shared" si="1040"/>
        <v>525200</v>
      </c>
      <c r="Q456" s="951">
        <f t="shared" si="1040"/>
        <v>525200</v>
      </c>
      <c r="R456" s="951">
        <f t="shared" si="1040"/>
        <v>0</v>
      </c>
      <c r="S456" s="950">
        <f t="shared" si="1040"/>
        <v>0</v>
      </c>
      <c r="T456" s="951">
        <f t="shared" si="1040"/>
        <v>0</v>
      </c>
      <c r="U456" s="951">
        <f t="shared" si="1040"/>
        <v>0</v>
      </c>
      <c r="V456" s="950">
        <f t="shared" si="1040"/>
        <v>0</v>
      </c>
      <c r="W456" s="951">
        <f t="shared" si="1040"/>
        <v>0</v>
      </c>
      <c r="X456" s="951">
        <f t="shared" si="1040"/>
        <v>0</v>
      </c>
    </row>
    <row r="457" spans="1:24" ht="15.75" hidden="1" customHeight="1">
      <c r="A457" s="955"/>
      <c r="B457" s="989"/>
      <c r="C457" s="956"/>
      <c r="D457" s="990"/>
      <c r="E457" s="983"/>
      <c r="F457" s="983"/>
      <c r="G457" s="954"/>
      <c r="H457" s="548" t="s">
        <v>220</v>
      </c>
      <c r="I457" s="548" t="s">
        <v>220</v>
      </c>
      <c r="J457" s="959"/>
      <c r="K457" s="950"/>
      <c r="L457" s="950"/>
      <c r="M457" s="951"/>
      <c r="N457" s="951"/>
      <c r="O457" s="950"/>
      <c r="P457" s="950"/>
      <c r="Q457" s="951"/>
      <c r="R457" s="951"/>
      <c r="S457" s="950"/>
      <c r="T457" s="951"/>
      <c r="U457" s="951"/>
      <c r="V457" s="950"/>
      <c r="W457" s="951"/>
      <c r="X457" s="951"/>
    </row>
    <row r="458" spans="1:24" ht="15.75" hidden="1" customHeight="1">
      <c r="A458" s="955">
        <v>13</v>
      </c>
      <c r="B458" s="989" t="s">
        <v>738</v>
      </c>
      <c r="C458" s="956" t="s">
        <v>1098</v>
      </c>
      <c r="D458" s="990" t="s">
        <v>737</v>
      </c>
      <c r="E458" s="954" t="s">
        <v>236</v>
      </c>
      <c r="F458" s="981" t="s">
        <v>1062</v>
      </c>
      <c r="G458" s="954" t="s">
        <v>1081</v>
      </c>
      <c r="H458" s="548" t="s">
        <v>220</v>
      </c>
      <c r="I458" s="548" t="s">
        <v>220</v>
      </c>
      <c r="J458" s="958" t="s">
        <v>13</v>
      </c>
      <c r="K458" s="950">
        <f t="shared" ref="K458" si="1041">L458+O458</f>
        <v>1500000</v>
      </c>
      <c r="L458" s="950">
        <f t="shared" ref="L458" si="1042">M458+N458</f>
        <v>0</v>
      </c>
      <c r="M458" s="951">
        <v>0</v>
      </c>
      <c r="N458" s="951">
        <v>0</v>
      </c>
      <c r="O458" s="950">
        <f t="shared" ref="O458" si="1043">P458+S458+V458</f>
        <v>1500000</v>
      </c>
      <c r="P458" s="950">
        <f t="shared" ref="P458" si="1044">Q458+R458</f>
        <v>1500000</v>
      </c>
      <c r="Q458" s="951">
        <v>1500000</v>
      </c>
      <c r="R458" s="951">
        <v>0</v>
      </c>
      <c r="S458" s="950">
        <f t="shared" ref="S458" si="1045">T458+U458</f>
        <v>0</v>
      </c>
      <c r="T458" s="951">
        <v>0</v>
      </c>
      <c r="U458" s="951">
        <v>0</v>
      </c>
      <c r="V458" s="950">
        <f t="shared" ref="V458" si="1046">W458+X458</f>
        <v>0</v>
      </c>
      <c r="W458" s="951">
        <v>0</v>
      </c>
      <c r="X458" s="951">
        <v>0</v>
      </c>
    </row>
    <row r="459" spans="1:24" ht="15.75" hidden="1" customHeight="1">
      <c r="A459" s="955"/>
      <c r="B459" s="989"/>
      <c r="C459" s="956"/>
      <c r="D459" s="990"/>
      <c r="E459" s="954"/>
      <c r="F459" s="982"/>
      <c r="G459" s="954"/>
      <c r="H459" s="548" t="s">
        <v>220</v>
      </c>
      <c r="I459" s="548" t="s">
        <v>220</v>
      </c>
      <c r="J459" s="959"/>
      <c r="K459" s="950"/>
      <c r="L459" s="950"/>
      <c r="M459" s="951"/>
      <c r="N459" s="951"/>
      <c r="O459" s="950"/>
      <c r="P459" s="950"/>
      <c r="Q459" s="951"/>
      <c r="R459" s="951"/>
      <c r="S459" s="950"/>
      <c r="T459" s="951"/>
      <c r="U459" s="951"/>
      <c r="V459" s="950"/>
      <c r="W459" s="951"/>
      <c r="X459" s="951"/>
    </row>
    <row r="460" spans="1:24" ht="15.75" hidden="1" customHeight="1">
      <c r="A460" s="955"/>
      <c r="B460" s="989"/>
      <c r="C460" s="956"/>
      <c r="D460" s="990"/>
      <c r="E460" s="954"/>
      <c r="F460" s="982"/>
      <c r="G460" s="954"/>
      <c r="H460" s="548" t="s">
        <v>220</v>
      </c>
      <c r="I460" s="548" t="s">
        <v>220</v>
      </c>
      <c r="J460" s="548" t="s">
        <v>14</v>
      </c>
      <c r="K460" s="550">
        <f t="shared" ref="K460" si="1047">L460+O460</f>
        <v>0</v>
      </c>
      <c r="L460" s="550">
        <f t="shared" ref="L460" si="1048">M460+N460</f>
        <v>0</v>
      </c>
      <c r="M460" s="551">
        <v>0</v>
      </c>
      <c r="N460" s="551">
        <v>0</v>
      </c>
      <c r="O460" s="550">
        <f t="shared" ref="O460" si="1049">P460+S460+V460</f>
        <v>0</v>
      </c>
      <c r="P460" s="550">
        <f t="shared" ref="P460" si="1050">Q460+R460</f>
        <v>0</v>
      </c>
      <c r="Q460" s="551">
        <v>0</v>
      </c>
      <c r="R460" s="551">
        <v>0</v>
      </c>
      <c r="S460" s="550">
        <f t="shared" ref="S460" si="1051">T460+U460</f>
        <v>0</v>
      </c>
      <c r="T460" s="551">
        <v>0</v>
      </c>
      <c r="U460" s="551">
        <v>0</v>
      </c>
      <c r="V460" s="550">
        <f t="shared" ref="V460" si="1052">W460+X460</f>
        <v>0</v>
      </c>
      <c r="W460" s="551">
        <v>0</v>
      </c>
      <c r="X460" s="551">
        <v>0</v>
      </c>
    </row>
    <row r="461" spans="1:24" ht="15.75" hidden="1" customHeight="1">
      <c r="A461" s="955"/>
      <c r="B461" s="989"/>
      <c r="C461" s="956"/>
      <c r="D461" s="990"/>
      <c r="E461" s="954"/>
      <c r="F461" s="982"/>
      <c r="G461" s="954"/>
      <c r="H461" s="548" t="s">
        <v>220</v>
      </c>
      <c r="I461" s="548" t="s">
        <v>220</v>
      </c>
      <c r="J461" s="958" t="s">
        <v>15</v>
      </c>
      <c r="K461" s="950">
        <f t="shared" ref="K461:X461" si="1053">K458+K460</f>
        <v>1500000</v>
      </c>
      <c r="L461" s="950">
        <f t="shared" si="1053"/>
        <v>0</v>
      </c>
      <c r="M461" s="951">
        <f t="shared" si="1053"/>
        <v>0</v>
      </c>
      <c r="N461" s="951">
        <f t="shared" si="1053"/>
        <v>0</v>
      </c>
      <c r="O461" s="950">
        <f t="shared" si="1053"/>
        <v>1500000</v>
      </c>
      <c r="P461" s="950">
        <f t="shared" si="1053"/>
        <v>1500000</v>
      </c>
      <c r="Q461" s="951">
        <f t="shared" si="1053"/>
        <v>1500000</v>
      </c>
      <c r="R461" s="951">
        <f t="shared" si="1053"/>
        <v>0</v>
      </c>
      <c r="S461" s="950">
        <f t="shared" si="1053"/>
        <v>0</v>
      </c>
      <c r="T461" s="951">
        <f t="shared" si="1053"/>
        <v>0</v>
      </c>
      <c r="U461" s="951">
        <f t="shared" si="1053"/>
        <v>0</v>
      </c>
      <c r="V461" s="950">
        <f t="shared" si="1053"/>
        <v>0</v>
      </c>
      <c r="W461" s="951">
        <f t="shared" si="1053"/>
        <v>0</v>
      </c>
      <c r="X461" s="951">
        <f t="shared" si="1053"/>
        <v>0</v>
      </c>
    </row>
    <row r="462" spans="1:24" ht="15.75" hidden="1" customHeight="1">
      <c r="A462" s="955"/>
      <c r="B462" s="989"/>
      <c r="C462" s="956"/>
      <c r="D462" s="990"/>
      <c r="E462" s="954"/>
      <c r="F462" s="983"/>
      <c r="G462" s="954"/>
      <c r="H462" s="548" t="s">
        <v>220</v>
      </c>
      <c r="I462" s="548" t="s">
        <v>220</v>
      </c>
      <c r="J462" s="959"/>
      <c r="K462" s="950"/>
      <c r="L462" s="950"/>
      <c r="M462" s="951"/>
      <c r="N462" s="951"/>
      <c r="O462" s="950"/>
      <c r="P462" s="950"/>
      <c r="Q462" s="951"/>
      <c r="R462" s="951"/>
      <c r="S462" s="950"/>
      <c r="T462" s="951"/>
      <c r="U462" s="951"/>
      <c r="V462" s="950"/>
      <c r="W462" s="951"/>
      <c r="X462" s="951"/>
    </row>
    <row r="463" spans="1:24" ht="15.75" hidden="1" customHeight="1">
      <c r="A463" s="955">
        <v>3</v>
      </c>
      <c r="B463" s="1019" t="s">
        <v>677</v>
      </c>
      <c r="C463" s="984" t="s">
        <v>1021</v>
      </c>
      <c r="D463" s="991" t="s">
        <v>675</v>
      </c>
      <c r="E463" s="986" t="s">
        <v>236</v>
      </c>
      <c r="F463" s="992" t="s">
        <v>1030</v>
      </c>
      <c r="G463" s="954" t="s">
        <v>1081</v>
      </c>
      <c r="H463" s="548" t="s">
        <v>220</v>
      </c>
      <c r="I463" s="548" t="s">
        <v>220</v>
      </c>
      <c r="J463" s="958" t="s">
        <v>13</v>
      </c>
      <c r="K463" s="950">
        <f t="shared" ref="K463" si="1054">L463+O463</f>
        <v>38563</v>
      </c>
      <c r="L463" s="950">
        <f t="shared" ref="L463" si="1055">M463+N463</f>
        <v>0</v>
      </c>
      <c r="M463" s="951">
        <v>0</v>
      </c>
      <c r="N463" s="951">
        <v>0</v>
      </c>
      <c r="O463" s="950">
        <f t="shared" ref="O463" si="1056">P463+S463+V463</f>
        <v>38563</v>
      </c>
      <c r="P463" s="950">
        <f t="shared" ref="P463" si="1057">Q463+R463</f>
        <v>38563</v>
      </c>
      <c r="Q463" s="951">
        <v>38563</v>
      </c>
      <c r="R463" s="951">
        <v>0</v>
      </c>
      <c r="S463" s="950">
        <f t="shared" ref="S463" si="1058">T463+U463</f>
        <v>0</v>
      </c>
      <c r="T463" s="951">
        <v>0</v>
      </c>
      <c r="U463" s="951">
        <v>0</v>
      </c>
      <c r="V463" s="950">
        <f t="shared" ref="V463" si="1059">W463+X463</f>
        <v>0</v>
      </c>
      <c r="W463" s="951">
        <v>0</v>
      </c>
      <c r="X463" s="951">
        <v>0</v>
      </c>
    </row>
    <row r="464" spans="1:24" ht="15.75" hidden="1" customHeight="1">
      <c r="A464" s="955"/>
      <c r="B464" s="1019"/>
      <c r="C464" s="984"/>
      <c r="D464" s="991"/>
      <c r="E464" s="986"/>
      <c r="F464" s="993"/>
      <c r="G464" s="954"/>
      <c r="H464" s="548" t="s">
        <v>220</v>
      </c>
      <c r="I464" s="548" t="s">
        <v>220</v>
      </c>
      <c r="J464" s="959"/>
      <c r="K464" s="950"/>
      <c r="L464" s="950"/>
      <c r="M464" s="951"/>
      <c r="N464" s="951"/>
      <c r="O464" s="950"/>
      <c r="P464" s="950"/>
      <c r="Q464" s="951"/>
      <c r="R464" s="951"/>
      <c r="S464" s="950"/>
      <c r="T464" s="951"/>
      <c r="U464" s="951"/>
      <c r="V464" s="950"/>
      <c r="W464" s="951"/>
      <c r="X464" s="951"/>
    </row>
    <row r="465" spans="1:24" ht="15.75" hidden="1" customHeight="1">
      <c r="A465" s="955"/>
      <c r="B465" s="1019"/>
      <c r="C465" s="984"/>
      <c r="D465" s="991"/>
      <c r="E465" s="986"/>
      <c r="F465" s="993"/>
      <c r="G465" s="954"/>
      <c r="H465" s="548" t="s">
        <v>220</v>
      </c>
      <c r="I465" s="548" t="s">
        <v>220</v>
      </c>
      <c r="J465" s="548" t="s">
        <v>14</v>
      </c>
      <c r="K465" s="550">
        <f t="shared" ref="K465" si="1060">L465+O465</f>
        <v>0</v>
      </c>
      <c r="L465" s="550">
        <f t="shared" ref="L465" si="1061">M465+N465</f>
        <v>0</v>
      </c>
      <c r="M465" s="551">
        <v>0</v>
      </c>
      <c r="N465" s="551">
        <v>0</v>
      </c>
      <c r="O465" s="550">
        <f t="shared" ref="O465" si="1062">P465+S465+V465</f>
        <v>0</v>
      </c>
      <c r="P465" s="550">
        <f t="shared" ref="P465" si="1063">Q465+R465</f>
        <v>0</v>
      </c>
      <c r="Q465" s="551">
        <v>0</v>
      </c>
      <c r="R465" s="551">
        <v>0</v>
      </c>
      <c r="S465" s="550">
        <f t="shared" ref="S465" si="1064">T465+U465</f>
        <v>0</v>
      </c>
      <c r="T465" s="551">
        <v>0</v>
      </c>
      <c r="U465" s="551">
        <v>0</v>
      </c>
      <c r="V465" s="550">
        <f t="shared" ref="V465" si="1065">W465+X465</f>
        <v>0</v>
      </c>
      <c r="W465" s="551">
        <v>0</v>
      </c>
      <c r="X465" s="551">
        <v>0</v>
      </c>
    </row>
    <row r="466" spans="1:24" ht="15.75" hidden="1" customHeight="1">
      <c r="A466" s="955"/>
      <c r="B466" s="1019"/>
      <c r="C466" s="984"/>
      <c r="D466" s="991"/>
      <c r="E466" s="986"/>
      <c r="F466" s="993"/>
      <c r="G466" s="954"/>
      <c r="H466" s="548" t="s">
        <v>220</v>
      </c>
      <c r="I466" s="548" t="s">
        <v>220</v>
      </c>
      <c r="J466" s="958" t="s">
        <v>15</v>
      </c>
      <c r="K466" s="950">
        <f t="shared" ref="K466:X466" si="1066">K463+K465</f>
        <v>38563</v>
      </c>
      <c r="L466" s="950">
        <f t="shared" si="1066"/>
        <v>0</v>
      </c>
      <c r="M466" s="951">
        <f t="shared" si="1066"/>
        <v>0</v>
      </c>
      <c r="N466" s="951">
        <f t="shared" si="1066"/>
        <v>0</v>
      </c>
      <c r="O466" s="950">
        <f t="shared" si="1066"/>
        <v>38563</v>
      </c>
      <c r="P466" s="950">
        <f t="shared" si="1066"/>
        <v>38563</v>
      </c>
      <c r="Q466" s="951">
        <f t="shared" si="1066"/>
        <v>38563</v>
      </c>
      <c r="R466" s="951">
        <f t="shared" si="1066"/>
        <v>0</v>
      </c>
      <c r="S466" s="950">
        <f t="shared" si="1066"/>
        <v>0</v>
      </c>
      <c r="T466" s="951">
        <f t="shared" si="1066"/>
        <v>0</v>
      </c>
      <c r="U466" s="951">
        <f t="shared" si="1066"/>
        <v>0</v>
      </c>
      <c r="V466" s="950">
        <f t="shared" si="1066"/>
        <v>0</v>
      </c>
      <c r="W466" s="951">
        <f t="shared" si="1066"/>
        <v>0</v>
      </c>
      <c r="X466" s="951">
        <f t="shared" si="1066"/>
        <v>0</v>
      </c>
    </row>
    <row r="467" spans="1:24" ht="15.75" hidden="1" customHeight="1">
      <c r="A467" s="955"/>
      <c r="B467" s="1019"/>
      <c r="C467" s="984"/>
      <c r="D467" s="991"/>
      <c r="E467" s="986"/>
      <c r="F467" s="994"/>
      <c r="G467" s="954"/>
      <c r="H467" s="548" t="s">
        <v>220</v>
      </c>
      <c r="I467" s="548" t="s">
        <v>220</v>
      </c>
      <c r="J467" s="959"/>
      <c r="K467" s="950"/>
      <c r="L467" s="950"/>
      <c r="M467" s="951"/>
      <c r="N467" s="951"/>
      <c r="O467" s="950"/>
      <c r="P467" s="950"/>
      <c r="Q467" s="951"/>
      <c r="R467" s="951"/>
      <c r="S467" s="950"/>
      <c r="T467" s="951"/>
      <c r="U467" s="951"/>
      <c r="V467" s="950"/>
      <c r="W467" s="951"/>
      <c r="X467" s="951"/>
    </row>
    <row r="468" spans="1:24" ht="15.75" hidden="1" customHeight="1">
      <c r="A468" s="955">
        <v>3</v>
      </c>
      <c r="B468" s="989" t="s">
        <v>664</v>
      </c>
      <c r="C468" s="956" t="s">
        <v>1099</v>
      </c>
      <c r="D468" s="990" t="s">
        <v>663</v>
      </c>
      <c r="E468" s="981" t="s">
        <v>1026</v>
      </c>
      <c r="F468" s="981" t="s">
        <v>1041</v>
      </c>
      <c r="G468" s="954" t="s">
        <v>1081</v>
      </c>
      <c r="H468" s="548" t="s">
        <v>220</v>
      </c>
      <c r="I468" s="548" t="s">
        <v>220</v>
      </c>
      <c r="J468" s="958" t="s">
        <v>13</v>
      </c>
      <c r="K468" s="950">
        <f t="shared" ref="K468" si="1067">L468+O468</f>
        <v>718150</v>
      </c>
      <c r="L468" s="950">
        <f t="shared" ref="L468" si="1068">M468+N468</f>
        <v>0</v>
      </c>
      <c r="M468" s="951">
        <v>0</v>
      </c>
      <c r="N468" s="951">
        <v>0</v>
      </c>
      <c r="O468" s="950">
        <f t="shared" ref="O468" si="1069">P468+S468+V468</f>
        <v>718150</v>
      </c>
      <c r="P468" s="950">
        <f t="shared" ref="P468" si="1070">Q468+R468</f>
        <v>718150</v>
      </c>
      <c r="Q468" s="951">
        <v>718150</v>
      </c>
      <c r="R468" s="951">
        <v>0</v>
      </c>
      <c r="S468" s="950">
        <f t="shared" ref="S468" si="1071">T468+U468</f>
        <v>0</v>
      </c>
      <c r="T468" s="951">
        <v>0</v>
      </c>
      <c r="U468" s="951">
        <v>0</v>
      </c>
      <c r="V468" s="950">
        <f t="shared" ref="V468" si="1072">W468+X468</f>
        <v>0</v>
      </c>
      <c r="W468" s="951">
        <v>0</v>
      </c>
      <c r="X468" s="951">
        <v>0</v>
      </c>
    </row>
    <row r="469" spans="1:24" ht="15.75" hidden="1" customHeight="1">
      <c r="A469" s="955"/>
      <c r="B469" s="989"/>
      <c r="C469" s="956"/>
      <c r="D469" s="990"/>
      <c r="E469" s="982"/>
      <c r="F469" s="982"/>
      <c r="G469" s="954"/>
      <c r="H469" s="548" t="s">
        <v>220</v>
      </c>
      <c r="I469" s="548" t="s">
        <v>220</v>
      </c>
      <c r="J469" s="959"/>
      <c r="K469" s="950"/>
      <c r="L469" s="950"/>
      <c r="M469" s="951"/>
      <c r="N469" s="951"/>
      <c r="O469" s="950"/>
      <c r="P469" s="950"/>
      <c r="Q469" s="951"/>
      <c r="R469" s="951"/>
      <c r="S469" s="950"/>
      <c r="T469" s="951"/>
      <c r="U469" s="951"/>
      <c r="V469" s="950"/>
      <c r="W469" s="951"/>
      <c r="X469" s="951"/>
    </row>
    <row r="470" spans="1:24" ht="15.75" hidden="1" customHeight="1">
      <c r="A470" s="955"/>
      <c r="B470" s="989"/>
      <c r="C470" s="956"/>
      <c r="D470" s="990"/>
      <c r="E470" s="982"/>
      <c r="F470" s="982"/>
      <c r="G470" s="954"/>
      <c r="H470" s="548" t="s">
        <v>220</v>
      </c>
      <c r="I470" s="548" t="s">
        <v>220</v>
      </c>
      <c r="J470" s="548" t="s">
        <v>14</v>
      </c>
      <c r="K470" s="550">
        <f t="shared" ref="K470" si="1073">L470+O470</f>
        <v>0</v>
      </c>
      <c r="L470" s="550">
        <f t="shared" ref="L470" si="1074">M470+N470</f>
        <v>0</v>
      </c>
      <c r="M470" s="551">
        <v>0</v>
      </c>
      <c r="N470" s="551">
        <v>0</v>
      </c>
      <c r="O470" s="550">
        <f t="shared" ref="O470" si="1075">P470+S470+V470</f>
        <v>0</v>
      </c>
      <c r="P470" s="550">
        <f t="shared" ref="P470" si="1076">Q470+R470</f>
        <v>0</v>
      </c>
      <c r="Q470" s="551">
        <v>0</v>
      </c>
      <c r="R470" s="551">
        <v>0</v>
      </c>
      <c r="S470" s="550">
        <f t="shared" ref="S470" si="1077">T470+U470</f>
        <v>0</v>
      </c>
      <c r="T470" s="551">
        <v>0</v>
      </c>
      <c r="U470" s="551">
        <v>0</v>
      </c>
      <c r="V470" s="550">
        <f t="shared" ref="V470" si="1078">W470+X470</f>
        <v>0</v>
      </c>
      <c r="W470" s="551">
        <v>0</v>
      </c>
      <c r="X470" s="551">
        <v>0</v>
      </c>
    </row>
    <row r="471" spans="1:24" ht="15.75" hidden="1" customHeight="1">
      <c r="A471" s="955"/>
      <c r="B471" s="989"/>
      <c r="C471" s="956"/>
      <c r="D471" s="990"/>
      <c r="E471" s="982"/>
      <c r="F471" s="982"/>
      <c r="G471" s="954"/>
      <c r="H471" s="548" t="s">
        <v>220</v>
      </c>
      <c r="I471" s="548" t="s">
        <v>220</v>
      </c>
      <c r="J471" s="958" t="s">
        <v>15</v>
      </c>
      <c r="K471" s="950">
        <f t="shared" ref="K471:X471" si="1079">K468+K470</f>
        <v>718150</v>
      </c>
      <c r="L471" s="950">
        <f t="shared" si="1079"/>
        <v>0</v>
      </c>
      <c r="M471" s="951">
        <f t="shared" si="1079"/>
        <v>0</v>
      </c>
      <c r="N471" s="951">
        <f t="shared" si="1079"/>
        <v>0</v>
      </c>
      <c r="O471" s="950">
        <f t="shared" si="1079"/>
        <v>718150</v>
      </c>
      <c r="P471" s="950">
        <f t="shared" si="1079"/>
        <v>718150</v>
      </c>
      <c r="Q471" s="951">
        <f t="shared" si="1079"/>
        <v>718150</v>
      </c>
      <c r="R471" s="951">
        <f t="shared" si="1079"/>
        <v>0</v>
      </c>
      <c r="S471" s="950">
        <f t="shared" si="1079"/>
        <v>0</v>
      </c>
      <c r="T471" s="951">
        <f t="shared" si="1079"/>
        <v>0</v>
      </c>
      <c r="U471" s="951">
        <f t="shared" si="1079"/>
        <v>0</v>
      </c>
      <c r="V471" s="950">
        <f t="shared" si="1079"/>
        <v>0</v>
      </c>
      <c r="W471" s="951">
        <f t="shared" si="1079"/>
        <v>0</v>
      </c>
      <c r="X471" s="951">
        <f t="shared" si="1079"/>
        <v>0</v>
      </c>
    </row>
    <row r="472" spans="1:24" ht="15.75" hidden="1" customHeight="1">
      <c r="A472" s="955"/>
      <c r="B472" s="989"/>
      <c r="C472" s="956"/>
      <c r="D472" s="990"/>
      <c r="E472" s="983"/>
      <c r="F472" s="983"/>
      <c r="G472" s="954"/>
      <c r="H472" s="548" t="s">
        <v>220</v>
      </c>
      <c r="I472" s="548" t="s">
        <v>220</v>
      </c>
      <c r="J472" s="959"/>
      <c r="K472" s="950"/>
      <c r="L472" s="950"/>
      <c r="M472" s="951"/>
      <c r="N472" s="951"/>
      <c r="O472" s="950"/>
      <c r="P472" s="950"/>
      <c r="Q472" s="951"/>
      <c r="R472" s="951"/>
      <c r="S472" s="950"/>
      <c r="T472" s="951"/>
      <c r="U472" s="951"/>
      <c r="V472" s="950"/>
      <c r="W472" s="951"/>
      <c r="X472" s="951"/>
    </row>
    <row r="473" spans="1:24" ht="15.75" hidden="1" customHeight="1">
      <c r="A473" s="955">
        <v>15</v>
      </c>
      <c r="B473" s="989" t="s">
        <v>690</v>
      </c>
      <c r="C473" s="956" t="s">
        <v>1023</v>
      </c>
      <c r="D473" s="990" t="s">
        <v>1100</v>
      </c>
      <c r="E473" s="954" t="s">
        <v>236</v>
      </c>
      <c r="F473" s="954" t="s">
        <v>1101</v>
      </c>
      <c r="G473" s="954" t="s">
        <v>1081</v>
      </c>
      <c r="H473" s="548" t="s">
        <v>220</v>
      </c>
      <c r="I473" s="548" t="s">
        <v>220</v>
      </c>
      <c r="J473" s="958" t="s">
        <v>13</v>
      </c>
      <c r="K473" s="950">
        <f t="shared" ref="K473" si="1080">L473+O473</f>
        <v>315000</v>
      </c>
      <c r="L473" s="950">
        <f t="shared" ref="L473" si="1081">M473+N473</f>
        <v>0</v>
      </c>
      <c r="M473" s="951">
        <v>0</v>
      </c>
      <c r="N473" s="951">
        <v>0</v>
      </c>
      <c r="O473" s="950">
        <f t="shared" ref="O473" si="1082">P473+S473+V473</f>
        <v>315000</v>
      </c>
      <c r="P473" s="950">
        <f t="shared" ref="P473" si="1083">Q473+R473</f>
        <v>315000</v>
      </c>
      <c r="Q473" s="951">
        <v>315000</v>
      </c>
      <c r="R473" s="951">
        <v>0</v>
      </c>
      <c r="S473" s="950">
        <f t="shared" ref="S473" si="1084">T473+U473</f>
        <v>0</v>
      </c>
      <c r="T473" s="951">
        <v>0</v>
      </c>
      <c r="U473" s="951">
        <v>0</v>
      </c>
      <c r="V473" s="950">
        <f t="shared" ref="V473" si="1085">W473+X473</f>
        <v>0</v>
      </c>
      <c r="W473" s="951">
        <v>0</v>
      </c>
      <c r="X473" s="951">
        <v>0</v>
      </c>
    </row>
    <row r="474" spans="1:24" ht="15.75" hidden="1" customHeight="1">
      <c r="A474" s="955"/>
      <c r="B474" s="989"/>
      <c r="C474" s="956"/>
      <c r="D474" s="990"/>
      <c r="E474" s="954"/>
      <c r="F474" s="954"/>
      <c r="G474" s="954"/>
      <c r="H474" s="548" t="s">
        <v>220</v>
      </c>
      <c r="I474" s="548" t="s">
        <v>220</v>
      </c>
      <c r="J474" s="959"/>
      <c r="K474" s="950"/>
      <c r="L474" s="950"/>
      <c r="M474" s="951"/>
      <c r="N474" s="951"/>
      <c r="O474" s="950"/>
      <c r="P474" s="950"/>
      <c r="Q474" s="951"/>
      <c r="R474" s="951"/>
      <c r="S474" s="950"/>
      <c r="T474" s="951"/>
      <c r="U474" s="951"/>
      <c r="V474" s="950"/>
      <c r="W474" s="951"/>
      <c r="X474" s="951"/>
    </row>
    <row r="475" spans="1:24" ht="15.75" hidden="1" customHeight="1">
      <c r="A475" s="955"/>
      <c r="B475" s="989"/>
      <c r="C475" s="956"/>
      <c r="D475" s="990"/>
      <c r="E475" s="954"/>
      <c r="F475" s="954"/>
      <c r="G475" s="954"/>
      <c r="H475" s="548" t="s">
        <v>220</v>
      </c>
      <c r="I475" s="548" t="s">
        <v>220</v>
      </c>
      <c r="J475" s="548" t="s">
        <v>14</v>
      </c>
      <c r="K475" s="550">
        <f t="shared" ref="K475" si="1086">L475+O475</f>
        <v>0</v>
      </c>
      <c r="L475" s="550">
        <f t="shared" ref="L475" si="1087">M475+N475</f>
        <v>0</v>
      </c>
      <c r="M475" s="551">
        <v>0</v>
      </c>
      <c r="N475" s="551">
        <v>0</v>
      </c>
      <c r="O475" s="550">
        <f t="shared" ref="O475" si="1088">P475+S475+V475</f>
        <v>0</v>
      </c>
      <c r="P475" s="550">
        <f t="shared" ref="P475" si="1089">Q475+R475</f>
        <v>0</v>
      </c>
      <c r="Q475" s="551">
        <v>0</v>
      </c>
      <c r="R475" s="551">
        <v>0</v>
      </c>
      <c r="S475" s="550">
        <f t="shared" ref="S475" si="1090">T475+U475</f>
        <v>0</v>
      </c>
      <c r="T475" s="551">
        <v>0</v>
      </c>
      <c r="U475" s="551">
        <v>0</v>
      </c>
      <c r="V475" s="550">
        <f t="shared" ref="V475" si="1091">W475+X475</f>
        <v>0</v>
      </c>
      <c r="W475" s="551">
        <v>0</v>
      </c>
      <c r="X475" s="551">
        <v>0</v>
      </c>
    </row>
    <row r="476" spans="1:24" ht="15.75" hidden="1" customHeight="1">
      <c r="A476" s="955"/>
      <c r="B476" s="989"/>
      <c r="C476" s="956"/>
      <c r="D476" s="990"/>
      <c r="E476" s="954"/>
      <c r="F476" s="954"/>
      <c r="G476" s="954"/>
      <c r="H476" s="548" t="s">
        <v>220</v>
      </c>
      <c r="I476" s="548" t="s">
        <v>220</v>
      </c>
      <c r="J476" s="958" t="s">
        <v>15</v>
      </c>
      <c r="K476" s="950">
        <f t="shared" ref="K476:X476" si="1092">K473+K475</f>
        <v>315000</v>
      </c>
      <c r="L476" s="950">
        <f t="shared" si="1092"/>
        <v>0</v>
      </c>
      <c r="M476" s="951">
        <f t="shared" si="1092"/>
        <v>0</v>
      </c>
      <c r="N476" s="951">
        <f t="shared" si="1092"/>
        <v>0</v>
      </c>
      <c r="O476" s="950">
        <f t="shared" si="1092"/>
        <v>315000</v>
      </c>
      <c r="P476" s="950">
        <f t="shared" si="1092"/>
        <v>315000</v>
      </c>
      <c r="Q476" s="951">
        <f t="shared" si="1092"/>
        <v>315000</v>
      </c>
      <c r="R476" s="951">
        <f t="shared" si="1092"/>
        <v>0</v>
      </c>
      <c r="S476" s="950">
        <f t="shared" si="1092"/>
        <v>0</v>
      </c>
      <c r="T476" s="951">
        <f t="shared" si="1092"/>
        <v>0</v>
      </c>
      <c r="U476" s="951">
        <f t="shared" si="1092"/>
        <v>0</v>
      </c>
      <c r="V476" s="950">
        <f t="shared" si="1092"/>
        <v>0</v>
      </c>
      <c r="W476" s="951">
        <f t="shared" si="1092"/>
        <v>0</v>
      </c>
      <c r="X476" s="951">
        <f t="shared" si="1092"/>
        <v>0</v>
      </c>
    </row>
    <row r="477" spans="1:24" ht="15.75" hidden="1" customHeight="1">
      <c r="A477" s="955"/>
      <c r="B477" s="989"/>
      <c r="C477" s="956"/>
      <c r="D477" s="990"/>
      <c r="E477" s="954"/>
      <c r="F477" s="954"/>
      <c r="G477" s="954"/>
      <c r="H477" s="548" t="s">
        <v>220</v>
      </c>
      <c r="I477" s="548" t="s">
        <v>220</v>
      </c>
      <c r="J477" s="959"/>
      <c r="K477" s="950"/>
      <c r="L477" s="950"/>
      <c r="M477" s="951"/>
      <c r="N477" s="951"/>
      <c r="O477" s="950"/>
      <c r="P477" s="950"/>
      <c r="Q477" s="951"/>
      <c r="R477" s="951"/>
      <c r="S477" s="950"/>
      <c r="T477" s="951"/>
      <c r="U477" s="951"/>
      <c r="V477" s="950"/>
      <c r="W477" s="951"/>
      <c r="X477" s="951"/>
    </row>
    <row r="478" spans="1:24" ht="15.75" hidden="1" customHeight="1">
      <c r="A478" s="955">
        <v>3</v>
      </c>
      <c r="B478" s="989" t="s">
        <v>696</v>
      </c>
      <c r="C478" s="956" t="s">
        <v>1023</v>
      </c>
      <c r="D478" s="990" t="s">
        <v>1102</v>
      </c>
      <c r="E478" s="954" t="s">
        <v>236</v>
      </c>
      <c r="F478" s="954" t="s">
        <v>1103</v>
      </c>
      <c r="G478" s="954" t="s">
        <v>1081</v>
      </c>
      <c r="H478" s="548" t="s">
        <v>220</v>
      </c>
      <c r="I478" s="548" t="s">
        <v>220</v>
      </c>
      <c r="J478" s="958" t="s">
        <v>13</v>
      </c>
      <c r="K478" s="950">
        <f t="shared" ref="K478" si="1093">L478+O478</f>
        <v>760000</v>
      </c>
      <c r="L478" s="950">
        <f t="shared" ref="L478" si="1094">M478+N478</f>
        <v>0</v>
      </c>
      <c r="M478" s="951">
        <v>0</v>
      </c>
      <c r="N478" s="951">
        <v>0</v>
      </c>
      <c r="O478" s="950">
        <f t="shared" ref="O478" si="1095">P478+S478+V478</f>
        <v>760000</v>
      </c>
      <c r="P478" s="950">
        <f t="shared" ref="P478" si="1096">Q478+R478</f>
        <v>760000</v>
      </c>
      <c r="Q478" s="951">
        <v>760000</v>
      </c>
      <c r="R478" s="951">
        <v>0</v>
      </c>
      <c r="S478" s="950">
        <f t="shared" ref="S478" si="1097">T478+U478</f>
        <v>0</v>
      </c>
      <c r="T478" s="951">
        <v>0</v>
      </c>
      <c r="U478" s="951">
        <v>0</v>
      </c>
      <c r="V478" s="950">
        <f t="shared" ref="V478" si="1098">W478+X478</f>
        <v>0</v>
      </c>
      <c r="W478" s="951">
        <v>0</v>
      </c>
      <c r="X478" s="951">
        <v>0</v>
      </c>
    </row>
    <row r="479" spans="1:24" ht="15.75" hidden="1" customHeight="1">
      <c r="A479" s="955"/>
      <c r="B479" s="989"/>
      <c r="C479" s="956"/>
      <c r="D479" s="990"/>
      <c r="E479" s="954"/>
      <c r="F479" s="954"/>
      <c r="G479" s="954"/>
      <c r="H479" s="548" t="s">
        <v>220</v>
      </c>
      <c r="I479" s="548" t="s">
        <v>220</v>
      </c>
      <c r="J479" s="959"/>
      <c r="K479" s="950"/>
      <c r="L479" s="950"/>
      <c r="M479" s="951"/>
      <c r="N479" s="951"/>
      <c r="O479" s="950"/>
      <c r="P479" s="950"/>
      <c r="Q479" s="951"/>
      <c r="R479" s="951"/>
      <c r="S479" s="950"/>
      <c r="T479" s="951"/>
      <c r="U479" s="951"/>
      <c r="V479" s="950"/>
      <c r="W479" s="951"/>
      <c r="X479" s="951"/>
    </row>
    <row r="480" spans="1:24" ht="15.75" hidden="1" customHeight="1">
      <c r="A480" s="955"/>
      <c r="B480" s="989"/>
      <c r="C480" s="956"/>
      <c r="D480" s="990"/>
      <c r="E480" s="954"/>
      <c r="F480" s="954"/>
      <c r="G480" s="954"/>
      <c r="H480" s="548" t="s">
        <v>220</v>
      </c>
      <c r="I480" s="548" t="s">
        <v>220</v>
      </c>
      <c r="J480" s="548" t="s">
        <v>14</v>
      </c>
      <c r="K480" s="550">
        <f t="shared" ref="K480" si="1099">L480+O480</f>
        <v>0</v>
      </c>
      <c r="L480" s="550">
        <f t="shared" ref="L480" si="1100">M480+N480</f>
        <v>0</v>
      </c>
      <c r="M480" s="551">
        <v>0</v>
      </c>
      <c r="N480" s="551">
        <v>0</v>
      </c>
      <c r="O480" s="550">
        <f t="shared" ref="O480" si="1101">P480+S480+V480</f>
        <v>0</v>
      </c>
      <c r="P480" s="550">
        <f t="shared" ref="P480" si="1102">Q480+R480</f>
        <v>0</v>
      </c>
      <c r="Q480" s="551">
        <v>0</v>
      </c>
      <c r="R480" s="551">
        <v>0</v>
      </c>
      <c r="S480" s="550">
        <f t="shared" ref="S480" si="1103">T480+U480</f>
        <v>0</v>
      </c>
      <c r="T480" s="551">
        <v>0</v>
      </c>
      <c r="U480" s="551">
        <v>0</v>
      </c>
      <c r="V480" s="550">
        <f t="shared" ref="V480" si="1104">W480+X480</f>
        <v>0</v>
      </c>
      <c r="W480" s="551">
        <v>0</v>
      </c>
      <c r="X480" s="551">
        <v>0</v>
      </c>
    </row>
    <row r="481" spans="1:24" ht="15.75" hidden="1" customHeight="1">
      <c r="A481" s="955"/>
      <c r="B481" s="989"/>
      <c r="C481" s="956"/>
      <c r="D481" s="990"/>
      <c r="E481" s="954"/>
      <c r="F481" s="954"/>
      <c r="G481" s="954"/>
      <c r="H481" s="548" t="s">
        <v>220</v>
      </c>
      <c r="I481" s="548" t="s">
        <v>220</v>
      </c>
      <c r="J481" s="958" t="s">
        <v>15</v>
      </c>
      <c r="K481" s="950">
        <f t="shared" ref="K481:X481" si="1105">K478+K480</f>
        <v>760000</v>
      </c>
      <c r="L481" s="950">
        <f t="shared" si="1105"/>
        <v>0</v>
      </c>
      <c r="M481" s="951">
        <f t="shared" si="1105"/>
        <v>0</v>
      </c>
      <c r="N481" s="951">
        <f t="shared" si="1105"/>
        <v>0</v>
      </c>
      <c r="O481" s="950">
        <f t="shared" si="1105"/>
        <v>760000</v>
      </c>
      <c r="P481" s="950">
        <f t="shared" si="1105"/>
        <v>760000</v>
      </c>
      <c r="Q481" s="951">
        <f t="shared" si="1105"/>
        <v>760000</v>
      </c>
      <c r="R481" s="951">
        <f t="shared" si="1105"/>
        <v>0</v>
      </c>
      <c r="S481" s="950">
        <f t="shared" si="1105"/>
        <v>0</v>
      </c>
      <c r="T481" s="951">
        <f t="shared" si="1105"/>
        <v>0</v>
      </c>
      <c r="U481" s="951">
        <f t="shared" si="1105"/>
        <v>0</v>
      </c>
      <c r="V481" s="950">
        <f t="shared" si="1105"/>
        <v>0</v>
      </c>
      <c r="W481" s="951">
        <f t="shared" si="1105"/>
        <v>0</v>
      </c>
      <c r="X481" s="951">
        <f t="shared" si="1105"/>
        <v>0</v>
      </c>
    </row>
    <row r="482" spans="1:24" ht="15.75" hidden="1" customHeight="1">
      <c r="A482" s="955"/>
      <c r="B482" s="989"/>
      <c r="C482" s="956"/>
      <c r="D482" s="990"/>
      <c r="E482" s="954"/>
      <c r="F482" s="954"/>
      <c r="G482" s="954"/>
      <c r="H482" s="548" t="s">
        <v>220</v>
      </c>
      <c r="I482" s="548" t="s">
        <v>220</v>
      </c>
      <c r="J482" s="959"/>
      <c r="K482" s="950"/>
      <c r="L482" s="950"/>
      <c r="M482" s="951"/>
      <c r="N482" s="951"/>
      <c r="O482" s="950"/>
      <c r="P482" s="950"/>
      <c r="Q482" s="951"/>
      <c r="R482" s="951"/>
      <c r="S482" s="950"/>
      <c r="T482" s="951"/>
      <c r="U482" s="951"/>
      <c r="V482" s="950"/>
      <c r="W482" s="951"/>
      <c r="X482" s="951"/>
    </row>
    <row r="483" spans="1:24" ht="15.75" hidden="1" customHeight="1">
      <c r="A483" s="955">
        <v>17</v>
      </c>
      <c r="B483" s="989" t="s">
        <v>681</v>
      </c>
      <c r="C483" s="956" t="s">
        <v>1032</v>
      </c>
      <c r="D483" s="990" t="s">
        <v>680</v>
      </c>
      <c r="E483" s="954" t="s">
        <v>236</v>
      </c>
      <c r="F483" s="954" t="s">
        <v>1104</v>
      </c>
      <c r="G483" s="954" t="s">
        <v>1081</v>
      </c>
      <c r="H483" s="548" t="s">
        <v>220</v>
      </c>
      <c r="I483" s="548" t="s">
        <v>220</v>
      </c>
      <c r="J483" s="958" t="s">
        <v>13</v>
      </c>
      <c r="K483" s="950">
        <f t="shared" ref="K483" si="1106">L483+O483</f>
        <v>55000</v>
      </c>
      <c r="L483" s="950">
        <f t="shared" ref="L483" si="1107">M483+N483</f>
        <v>0</v>
      </c>
      <c r="M483" s="951">
        <v>0</v>
      </c>
      <c r="N483" s="951">
        <v>0</v>
      </c>
      <c r="O483" s="950">
        <f t="shared" ref="O483" si="1108">P483+S483+V483</f>
        <v>55000</v>
      </c>
      <c r="P483" s="950">
        <f t="shared" ref="P483" si="1109">Q483+R483</f>
        <v>55000</v>
      </c>
      <c r="Q483" s="951">
        <v>55000</v>
      </c>
      <c r="R483" s="951">
        <v>0</v>
      </c>
      <c r="S483" s="950">
        <f t="shared" ref="S483" si="1110">T483+U483</f>
        <v>0</v>
      </c>
      <c r="T483" s="951">
        <v>0</v>
      </c>
      <c r="U483" s="951">
        <v>0</v>
      </c>
      <c r="V483" s="950">
        <f t="shared" ref="V483" si="1111">W483+X483</f>
        <v>0</v>
      </c>
      <c r="W483" s="951">
        <v>0</v>
      </c>
      <c r="X483" s="951">
        <v>0</v>
      </c>
    </row>
    <row r="484" spans="1:24" ht="15.75" hidden="1" customHeight="1">
      <c r="A484" s="955"/>
      <c r="B484" s="989"/>
      <c r="C484" s="956"/>
      <c r="D484" s="990"/>
      <c r="E484" s="954"/>
      <c r="F484" s="954"/>
      <c r="G484" s="954"/>
      <c r="H484" s="548" t="s">
        <v>220</v>
      </c>
      <c r="I484" s="548" t="s">
        <v>220</v>
      </c>
      <c r="J484" s="959"/>
      <c r="K484" s="950"/>
      <c r="L484" s="950"/>
      <c r="M484" s="951"/>
      <c r="N484" s="951"/>
      <c r="O484" s="950"/>
      <c r="P484" s="950"/>
      <c r="Q484" s="951"/>
      <c r="R484" s="951"/>
      <c r="S484" s="950"/>
      <c r="T484" s="951"/>
      <c r="U484" s="951"/>
      <c r="V484" s="950"/>
      <c r="W484" s="951"/>
      <c r="X484" s="951"/>
    </row>
    <row r="485" spans="1:24" ht="15.75" hidden="1" customHeight="1">
      <c r="A485" s="955"/>
      <c r="B485" s="989"/>
      <c r="C485" s="956"/>
      <c r="D485" s="990"/>
      <c r="E485" s="954"/>
      <c r="F485" s="954"/>
      <c r="G485" s="954"/>
      <c r="H485" s="548" t="s">
        <v>220</v>
      </c>
      <c r="I485" s="548" t="s">
        <v>220</v>
      </c>
      <c r="J485" s="548" t="s">
        <v>14</v>
      </c>
      <c r="K485" s="550">
        <f t="shared" ref="K485" si="1112">L485+O485</f>
        <v>0</v>
      </c>
      <c r="L485" s="550">
        <f t="shared" ref="L485" si="1113">M485+N485</f>
        <v>0</v>
      </c>
      <c r="M485" s="551">
        <v>0</v>
      </c>
      <c r="N485" s="551">
        <v>0</v>
      </c>
      <c r="O485" s="550">
        <f t="shared" ref="O485" si="1114">P485+S485+V485</f>
        <v>0</v>
      </c>
      <c r="P485" s="550">
        <f t="shared" ref="P485" si="1115">Q485+R485</f>
        <v>0</v>
      </c>
      <c r="Q485" s="551">
        <v>0</v>
      </c>
      <c r="R485" s="551">
        <v>0</v>
      </c>
      <c r="S485" s="550">
        <f t="shared" ref="S485" si="1116">T485+U485</f>
        <v>0</v>
      </c>
      <c r="T485" s="551">
        <v>0</v>
      </c>
      <c r="U485" s="551">
        <v>0</v>
      </c>
      <c r="V485" s="550">
        <f t="shared" ref="V485" si="1117">W485+X485</f>
        <v>0</v>
      </c>
      <c r="W485" s="551">
        <v>0</v>
      </c>
      <c r="X485" s="551">
        <v>0</v>
      </c>
    </row>
    <row r="486" spans="1:24" ht="15.75" hidden="1" customHeight="1">
      <c r="A486" s="955"/>
      <c r="B486" s="989"/>
      <c r="C486" s="956"/>
      <c r="D486" s="990"/>
      <c r="E486" s="954"/>
      <c r="F486" s="954"/>
      <c r="G486" s="954"/>
      <c r="H486" s="548" t="s">
        <v>220</v>
      </c>
      <c r="I486" s="548" t="s">
        <v>220</v>
      </c>
      <c r="J486" s="958" t="s">
        <v>15</v>
      </c>
      <c r="K486" s="950">
        <f t="shared" ref="K486:X486" si="1118">K483+K485</f>
        <v>55000</v>
      </c>
      <c r="L486" s="950">
        <f t="shared" si="1118"/>
        <v>0</v>
      </c>
      <c r="M486" s="951">
        <f t="shared" si="1118"/>
        <v>0</v>
      </c>
      <c r="N486" s="951">
        <f t="shared" si="1118"/>
        <v>0</v>
      </c>
      <c r="O486" s="950">
        <f t="shared" si="1118"/>
        <v>55000</v>
      </c>
      <c r="P486" s="950">
        <f t="shared" si="1118"/>
        <v>55000</v>
      </c>
      <c r="Q486" s="951">
        <f t="shared" si="1118"/>
        <v>55000</v>
      </c>
      <c r="R486" s="951">
        <f t="shared" si="1118"/>
        <v>0</v>
      </c>
      <c r="S486" s="950">
        <f t="shared" si="1118"/>
        <v>0</v>
      </c>
      <c r="T486" s="951">
        <f t="shared" si="1118"/>
        <v>0</v>
      </c>
      <c r="U486" s="951">
        <f t="shared" si="1118"/>
        <v>0</v>
      </c>
      <c r="V486" s="950">
        <f t="shared" si="1118"/>
        <v>0</v>
      </c>
      <c r="W486" s="951">
        <f t="shared" si="1118"/>
        <v>0</v>
      </c>
      <c r="X486" s="951">
        <f t="shared" si="1118"/>
        <v>0</v>
      </c>
    </row>
    <row r="487" spans="1:24" ht="15.75" hidden="1" customHeight="1">
      <c r="A487" s="955"/>
      <c r="B487" s="989"/>
      <c r="C487" s="956"/>
      <c r="D487" s="990"/>
      <c r="E487" s="954"/>
      <c r="F487" s="954"/>
      <c r="G487" s="954"/>
      <c r="H487" s="548" t="s">
        <v>220</v>
      </c>
      <c r="I487" s="548" t="s">
        <v>220</v>
      </c>
      <c r="J487" s="959"/>
      <c r="K487" s="950"/>
      <c r="L487" s="950"/>
      <c r="M487" s="951"/>
      <c r="N487" s="951"/>
      <c r="O487" s="950"/>
      <c r="P487" s="950"/>
      <c r="Q487" s="951"/>
      <c r="R487" s="951"/>
      <c r="S487" s="950"/>
      <c r="T487" s="951"/>
      <c r="U487" s="951"/>
      <c r="V487" s="950"/>
      <c r="W487" s="951"/>
      <c r="X487" s="951"/>
    </row>
    <row r="488" spans="1:24" ht="15.75" hidden="1" customHeight="1">
      <c r="A488" s="955">
        <v>18</v>
      </c>
      <c r="B488" s="989" t="s">
        <v>673</v>
      </c>
      <c r="C488" s="956" t="s">
        <v>1029</v>
      </c>
      <c r="D488" s="990" t="s">
        <v>671</v>
      </c>
      <c r="E488" s="954" t="s">
        <v>236</v>
      </c>
      <c r="F488" s="954" t="s">
        <v>1105</v>
      </c>
      <c r="G488" s="954" t="s">
        <v>1081</v>
      </c>
      <c r="H488" s="548" t="s">
        <v>220</v>
      </c>
      <c r="I488" s="548" t="s">
        <v>220</v>
      </c>
      <c r="J488" s="958" t="s">
        <v>13</v>
      </c>
      <c r="K488" s="950">
        <f t="shared" ref="K488" si="1119">L488+O488</f>
        <v>200000</v>
      </c>
      <c r="L488" s="950">
        <f t="shared" ref="L488" si="1120">M488+N488</f>
        <v>0</v>
      </c>
      <c r="M488" s="951">
        <v>0</v>
      </c>
      <c r="N488" s="951">
        <v>0</v>
      </c>
      <c r="O488" s="950">
        <f t="shared" ref="O488" si="1121">P488+S488+V488</f>
        <v>200000</v>
      </c>
      <c r="P488" s="950">
        <f t="shared" ref="P488" si="1122">Q488+R488</f>
        <v>200000</v>
      </c>
      <c r="Q488" s="951">
        <v>200000</v>
      </c>
      <c r="R488" s="951">
        <v>0</v>
      </c>
      <c r="S488" s="950">
        <f t="shared" ref="S488" si="1123">T488+U488</f>
        <v>0</v>
      </c>
      <c r="T488" s="951">
        <v>0</v>
      </c>
      <c r="U488" s="951">
        <v>0</v>
      </c>
      <c r="V488" s="950">
        <f t="shared" ref="V488" si="1124">W488+X488</f>
        <v>0</v>
      </c>
      <c r="W488" s="951">
        <v>0</v>
      </c>
      <c r="X488" s="951">
        <v>0</v>
      </c>
    </row>
    <row r="489" spans="1:24" ht="15.75" hidden="1" customHeight="1">
      <c r="A489" s="955"/>
      <c r="B489" s="989"/>
      <c r="C489" s="956"/>
      <c r="D489" s="990"/>
      <c r="E489" s="954"/>
      <c r="F489" s="954"/>
      <c r="G489" s="954"/>
      <c r="H489" s="548" t="s">
        <v>220</v>
      </c>
      <c r="I489" s="548" t="s">
        <v>220</v>
      </c>
      <c r="J489" s="959"/>
      <c r="K489" s="950"/>
      <c r="L489" s="950"/>
      <c r="M489" s="951"/>
      <c r="N489" s="951"/>
      <c r="O489" s="950"/>
      <c r="P489" s="950"/>
      <c r="Q489" s="951"/>
      <c r="R489" s="951"/>
      <c r="S489" s="950"/>
      <c r="T489" s="951"/>
      <c r="U489" s="951"/>
      <c r="V489" s="950"/>
      <c r="W489" s="951"/>
      <c r="X489" s="951"/>
    </row>
    <row r="490" spans="1:24" ht="15.75" hidden="1" customHeight="1">
      <c r="A490" s="955"/>
      <c r="B490" s="989"/>
      <c r="C490" s="956"/>
      <c r="D490" s="990"/>
      <c r="E490" s="954"/>
      <c r="F490" s="954"/>
      <c r="G490" s="954"/>
      <c r="H490" s="548" t="s">
        <v>220</v>
      </c>
      <c r="I490" s="548" t="s">
        <v>220</v>
      </c>
      <c r="J490" s="548" t="s">
        <v>14</v>
      </c>
      <c r="K490" s="550">
        <f t="shared" ref="K490" si="1125">L490+O490</f>
        <v>0</v>
      </c>
      <c r="L490" s="550">
        <f t="shared" ref="L490" si="1126">M490+N490</f>
        <v>0</v>
      </c>
      <c r="M490" s="551">
        <v>0</v>
      </c>
      <c r="N490" s="551">
        <v>0</v>
      </c>
      <c r="O490" s="550">
        <f t="shared" ref="O490" si="1127">P490+S490+V490</f>
        <v>0</v>
      </c>
      <c r="P490" s="550">
        <f t="shared" ref="P490" si="1128">Q490+R490</f>
        <v>0</v>
      </c>
      <c r="Q490" s="551">
        <v>0</v>
      </c>
      <c r="R490" s="551">
        <v>0</v>
      </c>
      <c r="S490" s="550">
        <f t="shared" ref="S490" si="1129">T490+U490</f>
        <v>0</v>
      </c>
      <c r="T490" s="551">
        <v>0</v>
      </c>
      <c r="U490" s="551">
        <v>0</v>
      </c>
      <c r="V490" s="550">
        <f t="shared" ref="V490" si="1130">W490+X490</f>
        <v>0</v>
      </c>
      <c r="W490" s="551">
        <v>0</v>
      </c>
      <c r="X490" s="551">
        <v>0</v>
      </c>
    </row>
    <row r="491" spans="1:24" ht="15.75" hidden="1" customHeight="1">
      <c r="A491" s="955"/>
      <c r="B491" s="989"/>
      <c r="C491" s="956"/>
      <c r="D491" s="990"/>
      <c r="E491" s="954"/>
      <c r="F491" s="954"/>
      <c r="G491" s="954"/>
      <c r="H491" s="548" t="s">
        <v>220</v>
      </c>
      <c r="I491" s="548" t="s">
        <v>220</v>
      </c>
      <c r="J491" s="958" t="s">
        <v>15</v>
      </c>
      <c r="K491" s="950">
        <f t="shared" ref="K491:X491" si="1131">K488+K490</f>
        <v>200000</v>
      </c>
      <c r="L491" s="950">
        <f t="shared" si="1131"/>
        <v>0</v>
      </c>
      <c r="M491" s="951">
        <f t="shared" si="1131"/>
        <v>0</v>
      </c>
      <c r="N491" s="951">
        <f t="shared" si="1131"/>
        <v>0</v>
      </c>
      <c r="O491" s="950">
        <f t="shared" si="1131"/>
        <v>200000</v>
      </c>
      <c r="P491" s="950">
        <f t="shared" si="1131"/>
        <v>200000</v>
      </c>
      <c r="Q491" s="951">
        <f t="shared" si="1131"/>
        <v>200000</v>
      </c>
      <c r="R491" s="951">
        <f t="shared" si="1131"/>
        <v>0</v>
      </c>
      <c r="S491" s="950">
        <f t="shared" si="1131"/>
        <v>0</v>
      </c>
      <c r="T491" s="951">
        <f t="shared" si="1131"/>
        <v>0</v>
      </c>
      <c r="U491" s="951">
        <f t="shared" si="1131"/>
        <v>0</v>
      </c>
      <c r="V491" s="950">
        <f t="shared" si="1131"/>
        <v>0</v>
      </c>
      <c r="W491" s="951">
        <f t="shared" si="1131"/>
        <v>0</v>
      </c>
      <c r="X491" s="951">
        <f t="shared" si="1131"/>
        <v>0</v>
      </c>
    </row>
    <row r="492" spans="1:24" ht="15.75" hidden="1" customHeight="1">
      <c r="A492" s="955"/>
      <c r="B492" s="989"/>
      <c r="C492" s="956"/>
      <c r="D492" s="990"/>
      <c r="E492" s="954"/>
      <c r="F492" s="954"/>
      <c r="G492" s="954"/>
      <c r="H492" s="548" t="s">
        <v>220</v>
      </c>
      <c r="I492" s="548" t="s">
        <v>220</v>
      </c>
      <c r="J492" s="959"/>
      <c r="K492" s="950"/>
      <c r="L492" s="950"/>
      <c r="M492" s="951"/>
      <c r="N492" s="951"/>
      <c r="O492" s="950"/>
      <c r="P492" s="950"/>
      <c r="Q492" s="951"/>
      <c r="R492" s="951"/>
      <c r="S492" s="950"/>
      <c r="T492" s="951"/>
      <c r="U492" s="951"/>
      <c r="V492" s="950"/>
      <c r="W492" s="951"/>
      <c r="X492" s="951"/>
    </row>
    <row r="493" spans="1:24" ht="15.75" hidden="1" customHeight="1">
      <c r="A493" s="972">
        <v>4</v>
      </c>
      <c r="B493" s="1008" t="s">
        <v>687</v>
      </c>
      <c r="C493" s="975" t="s">
        <v>1032</v>
      </c>
      <c r="D493" s="1011" t="s">
        <v>688</v>
      </c>
      <c r="E493" s="981" t="s">
        <v>236</v>
      </c>
      <c r="F493" s="981" t="s">
        <v>1101</v>
      </c>
      <c r="G493" s="981" t="s">
        <v>1081</v>
      </c>
      <c r="H493" s="548" t="s">
        <v>220</v>
      </c>
      <c r="I493" s="548" t="s">
        <v>220</v>
      </c>
      <c r="J493" s="958" t="s">
        <v>13</v>
      </c>
      <c r="K493" s="950">
        <f t="shared" ref="K493" si="1132">L493+O493</f>
        <v>500000</v>
      </c>
      <c r="L493" s="950">
        <f t="shared" ref="L493" si="1133">M493+N493</f>
        <v>0</v>
      </c>
      <c r="M493" s="951">
        <v>0</v>
      </c>
      <c r="N493" s="951">
        <v>0</v>
      </c>
      <c r="O493" s="950">
        <f t="shared" ref="O493" si="1134">P493+S493+V493</f>
        <v>500000</v>
      </c>
      <c r="P493" s="950">
        <f t="shared" ref="P493" si="1135">Q493+R493</f>
        <v>500000</v>
      </c>
      <c r="Q493" s="951">
        <v>500000</v>
      </c>
      <c r="R493" s="951">
        <v>0</v>
      </c>
      <c r="S493" s="950">
        <f t="shared" ref="S493" si="1136">T493+U493</f>
        <v>0</v>
      </c>
      <c r="T493" s="951">
        <v>0</v>
      </c>
      <c r="U493" s="951">
        <v>0</v>
      </c>
      <c r="V493" s="950">
        <f t="shared" ref="V493" si="1137">W493+X493</f>
        <v>0</v>
      </c>
      <c r="W493" s="951">
        <v>0</v>
      </c>
      <c r="X493" s="951">
        <v>0</v>
      </c>
    </row>
    <row r="494" spans="1:24" ht="15.75" hidden="1" customHeight="1">
      <c r="A494" s="973"/>
      <c r="B494" s="1009"/>
      <c r="C494" s="976"/>
      <c r="D494" s="1012"/>
      <c r="E494" s="982"/>
      <c r="F494" s="982"/>
      <c r="G494" s="982"/>
      <c r="H494" s="548" t="s">
        <v>220</v>
      </c>
      <c r="I494" s="548" t="s">
        <v>220</v>
      </c>
      <c r="J494" s="959"/>
      <c r="K494" s="950"/>
      <c r="L494" s="950"/>
      <c r="M494" s="951"/>
      <c r="N494" s="951"/>
      <c r="O494" s="950"/>
      <c r="P494" s="950"/>
      <c r="Q494" s="951"/>
      <c r="R494" s="951"/>
      <c r="S494" s="950"/>
      <c r="T494" s="951"/>
      <c r="U494" s="951"/>
      <c r="V494" s="950"/>
      <c r="W494" s="951"/>
      <c r="X494" s="951"/>
    </row>
    <row r="495" spans="1:24" ht="15.75" hidden="1" customHeight="1">
      <c r="A495" s="973"/>
      <c r="B495" s="1009"/>
      <c r="C495" s="976"/>
      <c r="D495" s="1012"/>
      <c r="E495" s="982"/>
      <c r="F495" s="982"/>
      <c r="G495" s="982"/>
      <c r="H495" s="548" t="s">
        <v>220</v>
      </c>
      <c r="I495" s="548" t="s">
        <v>220</v>
      </c>
      <c r="J495" s="548" t="s">
        <v>14</v>
      </c>
      <c r="K495" s="550">
        <f t="shared" ref="K495" si="1138">L495+O495</f>
        <v>0</v>
      </c>
      <c r="L495" s="550">
        <f t="shared" ref="L495" si="1139">M495+N495</f>
        <v>0</v>
      </c>
      <c r="M495" s="551">
        <v>0</v>
      </c>
      <c r="N495" s="551">
        <v>0</v>
      </c>
      <c r="O495" s="550">
        <f t="shared" ref="O495" si="1140">P495+S495+V495</f>
        <v>0</v>
      </c>
      <c r="P495" s="550">
        <f t="shared" ref="P495" si="1141">Q495+R495</f>
        <v>0</v>
      </c>
      <c r="Q495" s="551">
        <v>0</v>
      </c>
      <c r="R495" s="551">
        <v>0</v>
      </c>
      <c r="S495" s="550">
        <f t="shared" ref="S495" si="1142">T495+U495</f>
        <v>0</v>
      </c>
      <c r="T495" s="551">
        <v>0</v>
      </c>
      <c r="U495" s="551">
        <v>0</v>
      </c>
      <c r="V495" s="550">
        <f t="shared" ref="V495" si="1143">W495+X495</f>
        <v>0</v>
      </c>
      <c r="W495" s="551">
        <v>0</v>
      </c>
      <c r="X495" s="551">
        <v>0</v>
      </c>
    </row>
    <row r="496" spans="1:24" ht="15.75" hidden="1" customHeight="1">
      <c r="A496" s="973"/>
      <c r="B496" s="1009"/>
      <c r="C496" s="976"/>
      <c r="D496" s="1012"/>
      <c r="E496" s="982"/>
      <c r="F496" s="982"/>
      <c r="G496" s="982"/>
      <c r="H496" s="548" t="s">
        <v>220</v>
      </c>
      <c r="I496" s="548" t="s">
        <v>220</v>
      </c>
      <c r="J496" s="958" t="s">
        <v>15</v>
      </c>
      <c r="K496" s="950">
        <f t="shared" ref="K496:X496" si="1144">K493+K495</f>
        <v>500000</v>
      </c>
      <c r="L496" s="950">
        <f t="shared" si="1144"/>
        <v>0</v>
      </c>
      <c r="M496" s="951">
        <f t="shared" si="1144"/>
        <v>0</v>
      </c>
      <c r="N496" s="951">
        <f t="shared" si="1144"/>
        <v>0</v>
      </c>
      <c r="O496" s="950">
        <f t="shared" si="1144"/>
        <v>500000</v>
      </c>
      <c r="P496" s="950">
        <f t="shared" si="1144"/>
        <v>500000</v>
      </c>
      <c r="Q496" s="951">
        <f t="shared" si="1144"/>
        <v>500000</v>
      </c>
      <c r="R496" s="951">
        <f t="shared" si="1144"/>
        <v>0</v>
      </c>
      <c r="S496" s="950">
        <f t="shared" si="1144"/>
        <v>0</v>
      </c>
      <c r="T496" s="951">
        <f t="shared" si="1144"/>
        <v>0</v>
      </c>
      <c r="U496" s="951">
        <f t="shared" si="1144"/>
        <v>0</v>
      </c>
      <c r="V496" s="950">
        <f t="shared" si="1144"/>
        <v>0</v>
      </c>
      <c r="W496" s="951">
        <f t="shared" si="1144"/>
        <v>0</v>
      </c>
      <c r="X496" s="951">
        <f t="shared" si="1144"/>
        <v>0</v>
      </c>
    </row>
    <row r="497" spans="1:24" ht="15.75" hidden="1" customHeight="1">
      <c r="A497" s="974"/>
      <c r="B497" s="1010"/>
      <c r="C497" s="977"/>
      <c r="D497" s="1013"/>
      <c r="E497" s="983"/>
      <c r="F497" s="983"/>
      <c r="G497" s="983"/>
      <c r="H497" s="548" t="s">
        <v>220</v>
      </c>
      <c r="I497" s="548" t="s">
        <v>220</v>
      </c>
      <c r="J497" s="959"/>
      <c r="K497" s="950"/>
      <c r="L497" s="950"/>
      <c r="M497" s="951"/>
      <c r="N497" s="951"/>
      <c r="O497" s="950"/>
      <c r="P497" s="950"/>
      <c r="Q497" s="951"/>
      <c r="R497" s="951"/>
      <c r="S497" s="950"/>
      <c r="T497" s="951"/>
      <c r="U497" s="951"/>
      <c r="V497" s="950"/>
      <c r="W497" s="951"/>
      <c r="X497" s="951"/>
    </row>
    <row r="498" spans="1:24" ht="15.2" hidden="1" customHeight="1">
      <c r="A498" s="955">
        <v>4</v>
      </c>
      <c r="B498" s="989" t="s">
        <v>661</v>
      </c>
      <c r="C498" s="956" t="s">
        <v>1032</v>
      </c>
      <c r="D498" s="990" t="s">
        <v>670</v>
      </c>
      <c r="E498" s="954" t="s">
        <v>236</v>
      </c>
      <c r="F498" s="954" t="s">
        <v>1105</v>
      </c>
      <c r="G498" s="954" t="s">
        <v>1081</v>
      </c>
      <c r="H498" s="548" t="s">
        <v>220</v>
      </c>
      <c r="I498" s="548" t="s">
        <v>220</v>
      </c>
      <c r="J498" s="958" t="s">
        <v>13</v>
      </c>
      <c r="K498" s="950">
        <f t="shared" ref="K498" si="1145">L498+O498</f>
        <v>3279523</v>
      </c>
      <c r="L498" s="950">
        <f t="shared" ref="L498" si="1146">M498+N498</f>
        <v>0</v>
      </c>
      <c r="M498" s="951">
        <v>0</v>
      </c>
      <c r="N498" s="951">
        <v>0</v>
      </c>
      <c r="O498" s="950">
        <f t="shared" ref="O498" si="1147">P498+S498+V498</f>
        <v>3279523</v>
      </c>
      <c r="P498" s="950">
        <f t="shared" ref="P498" si="1148">Q498+R498</f>
        <v>3279523</v>
      </c>
      <c r="Q498" s="951">
        <v>3200418</v>
      </c>
      <c r="R498" s="951">
        <v>79105</v>
      </c>
      <c r="S498" s="950">
        <f t="shared" ref="S498" si="1149">T498+U498</f>
        <v>0</v>
      </c>
      <c r="T498" s="951">
        <v>0</v>
      </c>
      <c r="U498" s="951">
        <v>0</v>
      </c>
      <c r="V498" s="950">
        <f t="shared" ref="V498" si="1150">W498+X498</f>
        <v>0</v>
      </c>
      <c r="W498" s="951">
        <v>0</v>
      </c>
      <c r="X498" s="951">
        <v>0</v>
      </c>
    </row>
    <row r="499" spans="1:24" ht="15.2" hidden="1" customHeight="1">
      <c r="A499" s="955"/>
      <c r="B499" s="989"/>
      <c r="C499" s="956"/>
      <c r="D499" s="990"/>
      <c r="E499" s="954"/>
      <c r="F499" s="954"/>
      <c r="G499" s="954"/>
      <c r="H499" s="548" t="s">
        <v>220</v>
      </c>
      <c r="I499" s="548" t="s">
        <v>220</v>
      </c>
      <c r="J499" s="959"/>
      <c r="K499" s="950"/>
      <c r="L499" s="950"/>
      <c r="M499" s="951"/>
      <c r="N499" s="951"/>
      <c r="O499" s="950"/>
      <c r="P499" s="950"/>
      <c r="Q499" s="951"/>
      <c r="R499" s="951"/>
      <c r="S499" s="950"/>
      <c r="T499" s="951"/>
      <c r="U499" s="951"/>
      <c r="V499" s="950"/>
      <c r="W499" s="951"/>
      <c r="X499" s="951"/>
    </row>
    <row r="500" spans="1:24" ht="15.2" hidden="1" customHeight="1">
      <c r="A500" s="955"/>
      <c r="B500" s="989"/>
      <c r="C500" s="956"/>
      <c r="D500" s="990"/>
      <c r="E500" s="954"/>
      <c r="F500" s="954"/>
      <c r="G500" s="954"/>
      <c r="H500" s="548" t="s">
        <v>220</v>
      </c>
      <c r="I500" s="548" t="s">
        <v>220</v>
      </c>
      <c r="J500" s="548" t="s">
        <v>14</v>
      </c>
      <c r="K500" s="550">
        <f t="shared" ref="K500" si="1151">L500+O500</f>
        <v>0</v>
      </c>
      <c r="L500" s="550">
        <f t="shared" ref="L500" si="1152">M500+N500</f>
        <v>0</v>
      </c>
      <c r="M500" s="551">
        <v>0</v>
      </c>
      <c r="N500" s="551">
        <v>0</v>
      </c>
      <c r="O500" s="550">
        <f t="shared" ref="O500" si="1153">P500+S500+V500</f>
        <v>0</v>
      </c>
      <c r="P500" s="550">
        <f t="shared" ref="P500" si="1154">Q500+R500</f>
        <v>0</v>
      </c>
      <c r="Q500" s="551">
        <v>0</v>
      </c>
      <c r="R500" s="551">
        <v>0</v>
      </c>
      <c r="S500" s="550">
        <f t="shared" ref="S500" si="1155">T500+U500</f>
        <v>0</v>
      </c>
      <c r="T500" s="551">
        <v>0</v>
      </c>
      <c r="U500" s="551">
        <v>0</v>
      </c>
      <c r="V500" s="550">
        <f t="shared" ref="V500" si="1156">W500+X500</f>
        <v>0</v>
      </c>
      <c r="W500" s="551">
        <v>0</v>
      </c>
      <c r="X500" s="551">
        <v>0</v>
      </c>
    </row>
    <row r="501" spans="1:24" ht="15.2" hidden="1" customHeight="1">
      <c r="A501" s="955"/>
      <c r="B501" s="989"/>
      <c r="C501" s="956"/>
      <c r="D501" s="990"/>
      <c r="E501" s="954"/>
      <c r="F501" s="954"/>
      <c r="G501" s="954"/>
      <c r="H501" s="548" t="s">
        <v>220</v>
      </c>
      <c r="I501" s="548" t="s">
        <v>220</v>
      </c>
      <c r="J501" s="958" t="s">
        <v>15</v>
      </c>
      <c r="K501" s="950">
        <f t="shared" ref="K501:X501" si="1157">K498+K500</f>
        <v>3279523</v>
      </c>
      <c r="L501" s="950">
        <f t="shared" si="1157"/>
        <v>0</v>
      </c>
      <c r="M501" s="951">
        <f t="shared" si="1157"/>
        <v>0</v>
      </c>
      <c r="N501" s="951">
        <f t="shared" si="1157"/>
        <v>0</v>
      </c>
      <c r="O501" s="950">
        <f t="shared" si="1157"/>
        <v>3279523</v>
      </c>
      <c r="P501" s="950">
        <f t="shared" si="1157"/>
        <v>3279523</v>
      </c>
      <c r="Q501" s="951">
        <f t="shared" si="1157"/>
        <v>3200418</v>
      </c>
      <c r="R501" s="951">
        <f t="shared" si="1157"/>
        <v>79105</v>
      </c>
      <c r="S501" s="950">
        <f t="shared" si="1157"/>
        <v>0</v>
      </c>
      <c r="T501" s="951">
        <f t="shared" si="1157"/>
        <v>0</v>
      </c>
      <c r="U501" s="951">
        <f t="shared" si="1157"/>
        <v>0</v>
      </c>
      <c r="V501" s="950">
        <f t="shared" si="1157"/>
        <v>0</v>
      </c>
      <c r="W501" s="951">
        <f t="shared" si="1157"/>
        <v>0</v>
      </c>
      <c r="X501" s="951">
        <f t="shared" si="1157"/>
        <v>0</v>
      </c>
    </row>
    <row r="502" spans="1:24" ht="15.2" hidden="1" customHeight="1">
      <c r="A502" s="955"/>
      <c r="B502" s="989"/>
      <c r="C502" s="956"/>
      <c r="D502" s="990"/>
      <c r="E502" s="954"/>
      <c r="F502" s="954"/>
      <c r="G502" s="954"/>
      <c r="H502" s="548" t="s">
        <v>220</v>
      </c>
      <c r="I502" s="548" t="s">
        <v>220</v>
      </c>
      <c r="J502" s="959"/>
      <c r="K502" s="950"/>
      <c r="L502" s="950"/>
      <c r="M502" s="951"/>
      <c r="N502" s="951"/>
      <c r="O502" s="950"/>
      <c r="P502" s="950"/>
      <c r="Q502" s="951"/>
      <c r="R502" s="951"/>
      <c r="S502" s="950"/>
      <c r="T502" s="951"/>
      <c r="U502" s="951"/>
      <c r="V502" s="950"/>
      <c r="W502" s="951"/>
      <c r="X502" s="951"/>
    </row>
    <row r="503" spans="1:24" ht="15.75" hidden="1" customHeight="1">
      <c r="A503" s="955">
        <v>21</v>
      </c>
      <c r="B503" s="989" t="s">
        <v>684</v>
      </c>
      <c r="C503" s="956" t="s">
        <v>1043</v>
      </c>
      <c r="D503" s="990" t="s">
        <v>683</v>
      </c>
      <c r="E503" s="954" t="s">
        <v>236</v>
      </c>
      <c r="F503" s="954" t="s">
        <v>1106</v>
      </c>
      <c r="G503" s="954" t="s">
        <v>1081</v>
      </c>
      <c r="H503" s="548" t="s">
        <v>220</v>
      </c>
      <c r="I503" s="548" t="s">
        <v>220</v>
      </c>
      <c r="J503" s="958" t="s">
        <v>13</v>
      </c>
      <c r="K503" s="950">
        <f t="shared" ref="K503" si="1158">L503+O503</f>
        <v>1500000</v>
      </c>
      <c r="L503" s="950">
        <f t="shared" ref="L503" si="1159">M503+N503</f>
        <v>0</v>
      </c>
      <c r="M503" s="951">
        <v>0</v>
      </c>
      <c r="N503" s="951">
        <v>0</v>
      </c>
      <c r="O503" s="950">
        <f t="shared" ref="O503" si="1160">P503+S503+V503</f>
        <v>1500000</v>
      </c>
      <c r="P503" s="950">
        <f t="shared" ref="P503" si="1161">Q503+R503</f>
        <v>1500000</v>
      </c>
      <c r="Q503" s="951">
        <v>1500000</v>
      </c>
      <c r="R503" s="951">
        <v>0</v>
      </c>
      <c r="S503" s="950">
        <f t="shared" ref="S503" si="1162">T503+U503</f>
        <v>0</v>
      </c>
      <c r="T503" s="951">
        <v>0</v>
      </c>
      <c r="U503" s="951">
        <v>0</v>
      </c>
      <c r="V503" s="950">
        <f t="shared" ref="V503" si="1163">W503+X503</f>
        <v>0</v>
      </c>
      <c r="W503" s="951">
        <v>0</v>
      </c>
      <c r="X503" s="951">
        <v>0</v>
      </c>
    </row>
    <row r="504" spans="1:24" ht="15.75" hidden="1" customHeight="1">
      <c r="A504" s="955"/>
      <c r="B504" s="989"/>
      <c r="C504" s="956"/>
      <c r="D504" s="990"/>
      <c r="E504" s="954"/>
      <c r="F504" s="954"/>
      <c r="G504" s="954"/>
      <c r="H504" s="548" t="s">
        <v>220</v>
      </c>
      <c r="I504" s="548" t="s">
        <v>220</v>
      </c>
      <c r="J504" s="959"/>
      <c r="K504" s="950"/>
      <c r="L504" s="950"/>
      <c r="M504" s="951"/>
      <c r="N504" s="951"/>
      <c r="O504" s="950"/>
      <c r="P504" s="950"/>
      <c r="Q504" s="951"/>
      <c r="R504" s="951"/>
      <c r="S504" s="950"/>
      <c r="T504" s="951"/>
      <c r="U504" s="951"/>
      <c r="V504" s="950"/>
      <c r="W504" s="951"/>
      <c r="X504" s="951"/>
    </row>
    <row r="505" spans="1:24" ht="15.75" hidden="1" customHeight="1">
      <c r="A505" s="955"/>
      <c r="B505" s="989"/>
      <c r="C505" s="956"/>
      <c r="D505" s="990"/>
      <c r="E505" s="954"/>
      <c r="F505" s="954"/>
      <c r="G505" s="954"/>
      <c r="H505" s="548" t="s">
        <v>220</v>
      </c>
      <c r="I505" s="548" t="s">
        <v>220</v>
      </c>
      <c r="J505" s="548" t="s">
        <v>14</v>
      </c>
      <c r="K505" s="550">
        <f t="shared" ref="K505" si="1164">L505+O505</f>
        <v>0</v>
      </c>
      <c r="L505" s="550">
        <f t="shared" ref="L505" si="1165">M505+N505</f>
        <v>0</v>
      </c>
      <c r="M505" s="551">
        <v>0</v>
      </c>
      <c r="N505" s="551">
        <v>0</v>
      </c>
      <c r="O505" s="550">
        <f t="shared" ref="O505" si="1166">P505+S505+V505</f>
        <v>0</v>
      </c>
      <c r="P505" s="550">
        <f t="shared" ref="P505" si="1167">Q505+R505</f>
        <v>0</v>
      </c>
      <c r="Q505" s="551">
        <v>0</v>
      </c>
      <c r="R505" s="551">
        <v>0</v>
      </c>
      <c r="S505" s="550">
        <f t="shared" ref="S505" si="1168">T505+U505</f>
        <v>0</v>
      </c>
      <c r="T505" s="551">
        <v>0</v>
      </c>
      <c r="U505" s="551">
        <v>0</v>
      </c>
      <c r="V505" s="550">
        <f t="shared" ref="V505" si="1169">W505+X505</f>
        <v>0</v>
      </c>
      <c r="W505" s="551">
        <v>0</v>
      </c>
      <c r="X505" s="551">
        <v>0</v>
      </c>
    </row>
    <row r="506" spans="1:24" ht="15.75" hidden="1" customHeight="1">
      <c r="A506" s="955"/>
      <c r="B506" s="989"/>
      <c r="C506" s="956"/>
      <c r="D506" s="990"/>
      <c r="E506" s="954"/>
      <c r="F506" s="954"/>
      <c r="G506" s="954"/>
      <c r="H506" s="548" t="s">
        <v>220</v>
      </c>
      <c r="I506" s="548" t="s">
        <v>220</v>
      </c>
      <c r="J506" s="958" t="s">
        <v>15</v>
      </c>
      <c r="K506" s="950">
        <f t="shared" ref="K506:X506" si="1170">K503+K505</f>
        <v>1500000</v>
      </c>
      <c r="L506" s="950">
        <f t="shared" si="1170"/>
        <v>0</v>
      </c>
      <c r="M506" s="951">
        <f t="shared" si="1170"/>
        <v>0</v>
      </c>
      <c r="N506" s="951">
        <f t="shared" si="1170"/>
        <v>0</v>
      </c>
      <c r="O506" s="950">
        <f t="shared" si="1170"/>
        <v>1500000</v>
      </c>
      <c r="P506" s="950">
        <f t="shared" si="1170"/>
        <v>1500000</v>
      </c>
      <c r="Q506" s="951">
        <f t="shared" si="1170"/>
        <v>1500000</v>
      </c>
      <c r="R506" s="951">
        <f t="shared" si="1170"/>
        <v>0</v>
      </c>
      <c r="S506" s="950">
        <f t="shared" si="1170"/>
        <v>0</v>
      </c>
      <c r="T506" s="951">
        <f t="shared" si="1170"/>
        <v>0</v>
      </c>
      <c r="U506" s="951">
        <f t="shared" si="1170"/>
        <v>0</v>
      </c>
      <c r="V506" s="950">
        <f t="shared" si="1170"/>
        <v>0</v>
      </c>
      <c r="W506" s="951">
        <f t="shared" si="1170"/>
        <v>0</v>
      </c>
      <c r="X506" s="951">
        <f t="shared" si="1170"/>
        <v>0</v>
      </c>
    </row>
    <row r="507" spans="1:24" ht="15.75" hidden="1" customHeight="1">
      <c r="A507" s="955"/>
      <c r="B507" s="989"/>
      <c r="C507" s="956"/>
      <c r="D507" s="990"/>
      <c r="E507" s="954"/>
      <c r="F507" s="954"/>
      <c r="G507" s="954"/>
      <c r="H507" s="548" t="s">
        <v>220</v>
      </c>
      <c r="I507" s="548" t="s">
        <v>220</v>
      </c>
      <c r="J507" s="959"/>
      <c r="K507" s="950"/>
      <c r="L507" s="950"/>
      <c r="M507" s="951"/>
      <c r="N507" s="951"/>
      <c r="O507" s="950"/>
      <c r="P507" s="950"/>
      <c r="Q507" s="951"/>
      <c r="R507" s="951"/>
      <c r="S507" s="950"/>
      <c r="T507" s="951"/>
      <c r="U507" s="951"/>
      <c r="V507" s="950"/>
      <c r="W507" s="951"/>
      <c r="X507" s="951"/>
    </row>
    <row r="508" spans="1:24" ht="15.2" hidden="1" customHeight="1">
      <c r="A508" s="955">
        <v>5</v>
      </c>
      <c r="B508" s="989" t="s">
        <v>708</v>
      </c>
      <c r="C508" s="956" t="s">
        <v>1046</v>
      </c>
      <c r="D508" s="990" t="s">
        <v>707</v>
      </c>
      <c r="E508" s="954" t="s">
        <v>236</v>
      </c>
      <c r="F508" s="954" t="s">
        <v>1107</v>
      </c>
      <c r="G508" s="954" t="s">
        <v>1081</v>
      </c>
      <c r="H508" s="548" t="s">
        <v>220</v>
      </c>
      <c r="I508" s="548" t="s">
        <v>220</v>
      </c>
      <c r="J508" s="958" t="s">
        <v>13</v>
      </c>
      <c r="K508" s="950">
        <f t="shared" ref="K508" si="1171">L508+O508</f>
        <v>680000</v>
      </c>
      <c r="L508" s="950">
        <f t="shared" ref="L508" si="1172">M508+N508</f>
        <v>0</v>
      </c>
      <c r="M508" s="951">
        <v>0</v>
      </c>
      <c r="N508" s="951">
        <v>0</v>
      </c>
      <c r="O508" s="950">
        <f t="shared" ref="O508" si="1173">P508+S508+V508</f>
        <v>680000</v>
      </c>
      <c r="P508" s="950">
        <f t="shared" ref="P508" si="1174">Q508+R508</f>
        <v>680000</v>
      </c>
      <c r="Q508" s="951">
        <v>605000</v>
      </c>
      <c r="R508" s="951">
        <v>75000</v>
      </c>
      <c r="S508" s="950">
        <f t="shared" ref="S508" si="1175">T508+U508</f>
        <v>0</v>
      </c>
      <c r="T508" s="951">
        <v>0</v>
      </c>
      <c r="U508" s="951">
        <v>0</v>
      </c>
      <c r="V508" s="950">
        <f t="shared" ref="V508" si="1176">W508+X508</f>
        <v>0</v>
      </c>
      <c r="W508" s="951">
        <v>0</v>
      </c>
      <c r="X508" s="951">
        <v>0</v>
      </c>
    </row>
    <row r="509" spans="1:24" ht="15.2" hidden="1" customHeight="1">
      <c r="A509" s="955"/>
      <c r="B509" s="989"/>
      <c r="C509" s="956"/>
      <c r="D509" s="990"/>
      <c r="E509" s="954"/>
      <c r="F509" s="954"/>
      <c r="G509" s="954"/>
      <c r="H509" s="548" t="s">
        <v>220</v>
      </c>
      <c r="I509" s="548" t="s">
        <v>220</v>
      </c>
      <c r="J509" s="959"/>
      <c r="K509" s="950"/>
      <c r="L509" s="950"/>
      <c r="M509" s="951"/>
      <c r="N509" s="951"/>
      <c r="O509" s="950"/>
      <c r="P509" s="950"/>
      <c r="Q509" s="951"/>
      <c r="R509" s="951"/>
      <c r="S509" s="950"/>
      <c r="T509" s="951"/>
      <c r="U509" s="951"/>
      <c r="V509" s="950"/>
      <c r="W509" s="951"/>
      <c r="X509" s="951"/>
    </row>
    <row r="510" spans="1:24" ht="15.2" hidden="1" customHeight="1">
      <c r="A510" s="955"/>
      <c r="B510" s="989"/>
      <c r="C510" s="956"/>
      <c r="D510" s="990"/>
      <c r="E510" s="954"/>
      <c r="F510" s="954"/>
      <c r="G510" s="954"/>
      <c r="H510" s="548" t="s">
        <v>220</v>
      </c>
      <c r="I510" s="548" t="s">
        <v>220</v>
      </c>
      <c r="J510" s="548" t="s">
        <v>14</v>
      </c>
      <c r="K510" s="550">
        <f t="shared" ref="K510" si="1177">L510+O510</f>
        <v>0</v>
      </c>
      <c r="L510" s="550">
        <f t="shared" ref="L510" si="1178">M510+N510</f>
        <v>0</v>
      </c>
      <c r="M510" s="551">
        <v>0</v>
      </c>
      <c r="N510" s="551">
        <v>0</v>
      </c>
      <c r="O510" s="550">
        <f t="shared" ref="O510" si="1179">P510+S510+V510</f>
        <v>0</v>
      </c>
      <c r="P510" s="550">
        <f t="shared" ref="P510" si="1180">Q510+R510</f>
        <v>0</v>
      </c>
      <c r="Q510" s="551">
        <v>0</v>
      </c>
      <c r="R510" s="551">
        <v>0</v>
      </c>
      <c r="S510" s="550">
        <f t="shared" ref="S510" si="1181">T510+U510</f>
        <v>0</v>
      </c>
      <c r="T510" s="551">
        <v>0</v>
      </c>
      <c r="U510" s="551">
        <v>0</v>
      </c>
      <c r="V510" s="550">
        <f t="shared" ref="V510" si="1182">W510+X510</f>
        <v>0</v>
      </c>
      <c r="W510" s="551">
        <v>0</v>
      </c>
      <c r="X510" s="551">
        <v>0</v>
      </c>
    </row>
    <row r="511" spans="1:24" ht="15.2" hidden="1" customHeight="1">
      <c r="A511" s="955"/>
      <c r="B511" s="989"/>
      <c r="C511" s="956"/>
      <c r="D511" s="990"/>
      <c r="E511" s="954"/>
      <c r="F511" s="954"/>
      <c r="G511" s="954"/>
      <c r="H511" s="548" t="s">
        <v>220</v>
      </c>
      <c r="I511" s="548" t="s">
        <v>220</v>
      </c>
      <c r="J511" s="958" t="s">
        <v>15</v>
      </c>
      <c r="K511" s="950">
        <f t="shared" ref="K511:X511" si="1183">K508+K510</f>
        <v>680000</v>
      </c>
      <c r="L511" s="950">
        <f t="shared" si="1183"/>
        <v>0</v>
      </c>
      <c r="M511" s="951">
        <f t="shared" si="1183"/>
        <v>0</v>
      </c>
      <c r="N511" s="951">
        <f t="shared" si="1183"/>
        <v>0</v>
      </c>
      <c r="O511" s="950">
        <f t="shared" si="1183"/>
        <v>680000</v>
      </c>
      <c r="P511" s="950">
        <f t="shared" si="1183"/>
        <v>680000</v>
      </c>
      <c r="Q511" s="951">
        <f t="shared" si="1183"/>
        <v>605000</v>
      </c>
      <c r="R511" s="951">
        <f t="shared" si="1183"/>
        <v>75000</v>
      </c>
      <c r="S511" s="950">
        <f t="shared" si="1183"/>
        <v>0</v>
      </c>
      <c r="T511" s="951">
        <f t="shared" si="1183"/>
        <v>0</v>
      </c>
      <c r="U511" s="951">
        <f t="shared" si="1183"/>
        <v>0</v>
      </c>
      <c r="V511" s="950">
        <f t="shared" si="1183"/>
        <v>0</v>
      </c>
      <c r="W511" s="951">
        <f t="shared" si="1183"/>
        <v>0</v>
      </c>
      <c r="X511" s="951">
        <f t="shared" si="1183"/>
        <v>0</v>
      </c>
    </row>
    <row r="512" spans="1:24" ht="15.2" hidden="1" customHeight="1">
      <c r="A512" s="955"/>
      <c r="B512" s="989"/>
      <c r="C512" s="956"/>
      <c r="D512" s="990"/>
      <c r="E512" s="954"/>
      <c r="F512" s="954"/>
      <c r="G512" s="954"/>
      <c r="H512" s="548" t="s">
        <v>220</v>
      </c>
      <c r="I512" s="548" t="s">
        <v>220</v>
      </c>
      <c r="J512" s="959"/>
      <c r="K512" s="950"/>
      <c r="L512" s="950"/>
      <c r="M512" s="951"/>
      <c r="N512" s="951"/>
      <c r="O512" s="950"/>
      <c r="P512" s="950"/>
      <c r="Q512" s="951"/>
      <c r="R512" s="951"/>
      <c r="S512" s="950"/>
      <c r="T512" s="951"/>
      <c r="U512" s="951"/>
      <c r="V512" s="950"/>
      <c r="W512" s="951"/>
      <c r="X512" s="951"/>
    </row>
    <row r="513" spans="1:24" ht="15.75" hidden="1" customHeight="1">
      <c r="A513" s="955">
        <v>23</v>
      </c>
      <c r="B513" s="989" t="s">
        <v>706</v>
      </c>
      <c r="C513" s="956" t="s">
        <v>1050</v>
      </c>
      <c r="D513" s="990" t="s">
        <v>705</v>
      </c>
      <c r="E513" s="954" t="s">
        <v>236</v>
      </c>
      <c r="F513" s="954" t="s">
        <v>1107</v>
      </c>
      <c r="G513" s="954" t="s">
        <v>1081</v>
      </c>
      <c r="H513" s="548" t="s">
        <v>220</v>
      </c>
      <c r="I513" s="548" t="s">
        <v>220</v>
      </c>
      <c r="J513" s="958" t="s">
        <v>13</v>
      </c>
      <c r="K513" s="950">
        <f t="shared" ref="K513" si="1184">L513+O513</f>
        <v>570000</v>
      </c>
      <c r="L513" s="950">
        <f t="shared" ref="L513" si="1185">M513+N513</f>
        <v>0</v>
      </c>
      <c r="M513" s="951">
        <v>0</v>
      </c>
      <c r="N513" s="951">
        <v>0</v>
      </c>
      <c r="O513" s="950">
        <f t="shared" ref="O513" si="1186">P513+S513+V513</f>
        <v>570000</v>
      </c>
      <c r="P513" s="950">
        <f t="shared" ref="P513" si="1187">Q513+R513</f>
        <v>570000</v>
      </c>
      <c r="Q513" s="951">
        <v>525000</v>
      </c>
      <c r="R513" s="951">
        <v>45000</v>
      </c>
      <c r="S513" s="950">
        <f t="shared" ref="S513" si="1188">T513+U513</f>
        <v>0</v>
      </c>
      <c r="T513" s="951">
        <v>0</v>
      </c>
      <c r="U513" s="951">
        <v>0</v>
      </c>
      <c r="V513" s="950">
        <f t="shared" ref="V513" si="1189">W513+X513</f>
        <v>0</v>
      </c>
      <c r="W513" s="951">
        <v>0</v>
      </c>
      <c r="X513" s="951">
        <v>0</v>
      </c>
    </row>
    <row r="514" spans="1:24" ht="15.75" hidden="1" customHeight="1">
      <c r="A514" s="955"/>
      <c r="B514" s="989"/>
      <c r="C514" s="956"/>
      <c r="D514" s="990"/>
      <c r="E514" s="954"/>
      <c r="F514" s="954"/>
      <c r="G514" s="954"/>
      <c r="H514" s="548" t="s">
        <v>220</v>
      </c>
      <c r="I514" s="548" t="s">
        <v>220</v>
      </c>
      <c r="J514" s="959"/>
      <c r="K514" s="950"/>
      <c r="L514" s="950"/>
      <c r="M514" s="951"/>
      <c r="N514" s="951"/>
      <c r="O514" s="950"/>
      <c r="P514" s="950"/>
      <c r="Q514" s="951"/>
      <c r="R514" s="951"/>
      <c r="S514" s="950"/>
      <c r="T514" s="951"/>
      <c r="U514" s="951"/>
      <c r="V514" s="950"/>
      <c r="W514" s="951"/>
      <c r="X514" s="951"/>
    </row>
    <row r="515" spans="1:24" ht="15.75" hidden="1" customHeight="1">
      <c r="A515" s="955"/>
      <c r="B515" s="989"/>
      <c r="C515" s="956"/>
      <c r="D515" s="990"/>
      <c r="E515" s="954"/>
      <c r="F515" s="954"/>
      <c r="G515" s="954"/>
      <c r="H515" s="548" t="s">
        <v>220</v>
      </c>
      <c r="I515" s="548" t="s">
        <v>220</v>
      </c>
      <c r="J515" s="548" t="s">
        <v>14</v>
      </c>
      <c r="K515" s="550">
        <f t="shared" ref="K515" si="1190">L515+O515</f>
        <v>0</v>
      </c>
      <c r="L515" s="550">
        <f t="shared" ref="L515" si="1191">M515+N515</f>
        <v>0</v>
      </c>
      <c r="M515" s="551">
        <v>0</v>
      </c>
      <c r="N515" s="551">
        <v>0</v>
      </c>
      <c r="O515" s="550">
        <f t="shared" ref="O515" si="1192">P515+S515+V515</f>
        <v>0</v>
      </c>
      <c r="P515" s="550">
        <f t="shared" ref="P515" si="1193">Q515+R515</f>
        <v>0</v>
      </c>
      <c r="Q515" s="551">
        <v>0</v>
      </c>
      <c r="R515" s="551">
        <v>0</v>
      </c>
      <c r="S515" s="550">
        <f t="shared" ref="S515" si="1194">T515+U515</f>
        <v>0</v>
      </c>
      <c r="T515" s="551">
        <v>0</v>
      </c>
      <c r="U515" s="551">
        <v>0</v>
      </c>
      <c r="V515" s="550">
        <f t="shared" ref="V515" si="1195">W515+X515</f>
        <v>0</v>
      </c>
      <c r="W515" s="551">
        <v>0</v>
      </c>
      <c r="X515" s="551">
        <v>0</v>
      </c>
    </row>
    <row r="516" spans="1:24" ht="15.75" hidden="1" customHeight="1">
      <c r="A516" s="955"/>
      <c r="B516" s="989"/>
      <c r="C516" s="956"/>
      <c r="D516" s="990"/>
      <c r="E516" s="954"/>
      <c r="F516" s="954"/>
      <c r="G516" s="954"/>
      <c r="H516" s="548" t="s">
        <v>220</v>
      </c>
      <c r="I516" s="548" t="s">
        <v>220</v>
      </c>
      <c r="J516" s="958" t="s">
        <v>15</v>
      </c>
      <c r="K516" s="950">
        <f t="shared" ref="K516:X516" si="1196">K513+K515</f>
        <v>570000</v>
      </c>
      <c r="L516" s="950">
        <f t="shared" si="1196"/>
        <v>0</v>
      </c>
      <c r="M516" s="951">
        <f t="shared" si="1196"/>
        <v>0</v>
      </c>
      <c r="N516" s="951">
        <f t="shared" si="1196"/>
        <v>0</v>
      </c>
      <c r="O516" s="950">
        <f t="shared" si="1196"/>
        <v>570000</v>
      </c>
      <c r="P516" s="950">
        <f t="shared" si="1196"/>
        <v>570000</v>
      </c>
      <c r="Q516" s="951">
        <f t="shared" si="1196"/>
        <v>525000</v>
      </c>
      <c r="R516" s="951">
        <f t="shared" si="1196"/>
        <v>45000</v>
      </c>
      <c r="S516" s="950">
        <f t="shared" si="1196"/>
        <v>0</v>
      </c>
      <c r="T516" s="951">
        <f t="shared" si="1196"/>
        <v>0</v>
      </c>
      <c r="U516" s="951">
        <f t="shared" si="1196"/>
        <v>0</v>
      </c>
      <c r="V516" s="950">
        <f t="shared" si="1196"/>
        <v>0</v>
      </c>
      <c r="W516" s="951">
        <f t="shared" si="1196"/>
        <v>0</v>
      </c>
      <c r="X516" s="951">
        <f t="shared" si="1196"/>
        <v>0</v>
      </c>
    </row>
    <row r="517" spans="1:24" ht="15.75" hidden="1" customHeight="1">
      <c r="A517" s="955"/>
      <c r="B517" s="989"/>
      <c r="C517" s="956"/>
      <c r="D517" s="990"/>
      <c r="E517" s="954"/>
      <c r="F517" s="954"/>
      <c r="G517" s="954"/>
      <c r="H517" s="548" t="s">
        <v>220</v>
      </c>
      <c r="I517" s="548" t="s">
        <v>220</v>
      </c>
      <c r="J517" s="959"/>
      <c r="K517" s="950"/>
      <c r="L517" s="950"/>
      <c r="M517" s="951"/>
      <c r="N517" s="951"/>
      <c r="O517" s="950"/>
      <c r="P517" s="950"/>
      <c r="Q517" s="951"/>
      <c r="R517" s="951"/>
      <c r="S517" s="950"/>
      <c r="T517" s="951"/>
      <c r="U517" s="951"/>
      <c r="V517" s="950"/>
      <c r="W517" s="951"/>
      <c r="X517" s="951"/>
    </row>
    <row r="518" spans="1:24" ht="15.75" hidden="1" customHeight="1">
      <c r="A518" s="955">
        <v>24</v>
      </c>
      <c r="B518" s="989" t="s">
        <v>703</v>
      </c>
      <c r="C518" s="956" t="s">
        <v>1046</v>
      </c>
      <c r="D518" s="990" t="s">
        <v>701</v>
      </c>
      <c r="E518" s="954" t="s">
        <v>236</v>
      </c>
      <c r="F518" s="954" t="s">
        <v>1107</v>
      </c>
      <c r="G518" s="954" t="s">
        <v>1081</v>
      </c>
      <c r="H518" s="548" t="s">
        <v>220</v>
      </c>
      <c r="I518" s="548" t="s">
        <v>220</v>
      </c>
      <c r="J518" s="958" t="s">
        <v>13</v>
      </c>
      <c r="K518" s="950">
        <f t="shared" ref="K518" si="1197">L518+O518</f>
        <v>668000</v>
      </c>
      <c r="L518" s="950">
        <f t="shared" ref="L518" si="1198">M518+N518</f>
        <v>0</v>
      </c>
      <c r="M518" s="951">
        <v>0</v>
      </c>
      <c r="N518" s="951">
        <v>0</v>
      </c>
      <c r="O518" s="950">
        <f t="shared" ref="O518" si="1199">P518+S518+V518</f>
        <v>668000</v>
      </c>
      <c r="P518" s="950">
        <f t="shared" ref="P518" si="1200">Q518+R518</f>
        <v>668000</v>
      </c>
      <c r="Q518" s="951">
        <v>638000</v>
      </c>
      <c r="R518" s="951">
        <v>30000</v>
      </c>
      <c r="S518" s="950">
        <f t="shared" ref="S518" si="1201">T518+U518</f>
        <v>0</v>
      </c>
      <c r="T518" s="951">
        <v>0</v>
      </c>
      <c r="U518" s="951">
        <v>0</v>
      </c>
      <c r="V518" s="950">
        <f t="shared" ref="V518" si="1202">W518+X518</f>
        <v>0</v>
      </c>
      <c r="W518" s="951">
        <v>0</v>
      </c>
      <c r="X518" s="951">
        <v>0</v>
      </c>
    </row>
    <row r="519" spans="1:24" ht="15.75" hidden="1" customHeight="1">
      <c r="A519" s="955"/>
      <c r="B519" s="989"/>
      <c r="C519" s="956"/>
      <c r="D519" s="990"/>
      <c r="E519" s="954"/>
      <c r="F519" s="954"/>
      <c r="G519" s="954"/>
      <c r="H519" s="548" t="s">
        <v>220</v>
      </c>
      <c r="I519" s="548" t="s">
        <v>220</v>
      </c>
      <c r="J519" s="959"/>
      <c r="K519" s="950"/>
      <c r="L519" s="950"/>
      <c r="M519" s="951"/>
      <c r="N519" s="951"/>
      <c r="O519" s="950"/>
      <c r="P519" s="950"/>
      <c r="Q519" s="951"/>
      <c r="R519" s="951"/>
      <c r="S519" s="950"/>
      <c r="T519" s="951"/>
      <c r="U519" s="951"/>
      <c r="V519" s="950"/>
      <c r="W519" s="951"/>
      <c r="X519" s="951"/>
    </row>
    <row r="520" spans="1:24" ht="15.75" hidden="1" customHeight="1">
      <c r="A520" s="955"/>
      <c r="B520" s="989"/>
      <c r="C520" s="956"/>
      <c r="D520" s="990"/>
      <c r="E520" s="954"/>
      <c r="F520" s="954"/>
      <c r="G520" s="954"/>
      <c r="H520" s="548" t="s">
        <v>220</v>
      </c>
      <c r="I520" s="548" t="s">
        <v>220</v>
      </c>
      <c r="J520" s="548" t="s">
        <v>14</v>
      </c>
      <c r="K520" s="550">
        <f t="shared" ref="K520" si="1203">L520+O520</f>
        <v>0</v>
      </c>
      <c r="L520" s="550">
        <f t="shared" ref="L520" si="1204">M520+N520</f>
        <v>0</v>
      </c>
      <c r="M520" s="551">
        <v>0</v>
      </c>
      <c r="N520" s="551">
        <v>0</v>
      </c>
      <c r="O520" s="550">
        <f t="shared" ref="O520" si="1205">P520+S520+V520</f>
        <v>0</v>
      </c>
      <c r="P520" s="550">
        <f t="shared" ref="P520" si="1206">Q520+R520</f>
        <v>0</v>
      </c>
      <c r="Q520" s="551">
        <v>0</v>
      </c>
      <c r="R520" s="551">
        <v>0</v>
      </c>
      <c r="S520" s="550">
        <f t="shared" ref="S520" si="1207">T520+U520</f>
        <v>0</v>
      </c>
      <c r="T520" s="551">
        <v>0</v>
      </c>
      <c r="U520" s="551">
        <v>0</v>
      </c>
      <c r="V520" s="550">
        <f t="shared" ref="V520" si="1208">W520+X520</f>
        <v>0</v>
      </c>
      <c r="W520" s="551">
        <v>0</v>
      </c>
      <c r="X520" s="551">
        <v>0</v>
      </c>
    </row>
    <row r="521" spans="1:24" ht="15.75" hidden="1" customHeight="1">
      <c r="A521" s="955"/>
      <c r="B521" s="989"/>
      <c r="C521" s="956"/>
      <c r="D521" s="990"/>
      <c r="E521" s="954"/>
      <c r="F521" s="954"/>
      <c r="G521" s="954"/>
      <c r="H521" s="548" t="s">
        <v>220</v>
      </c>
      <c r="I521" s="548" t="s">
        <v>220</v>
      </c>
      <c r="J521" s="958" t="s">
        <v>15</v>
      </c>
      <c r="K521" s="950">
        <f t="shared" ref="K521:X521" si="1209">K518+K520</f>
        <v>668000</v>
      </c>
      <c r="L521" s="950">
        <f t="shared" si="1209"/>
        <v>0</v>
      </c>
      <c r="M521" s="951">
        <f t="shared" si="1209"/>
        <v>0</v>
      </c>
      <c r="N521" s="951">
        <f t="shared" si="1209"/>
        <v>0</v>
      </c>
      <c r="O521" s="950">
        <f t="shared" si="1209"/>
        <v>668000</v>
      </c>
      <c r="P521" s="950">
        <f t="shared" si="1209"/>
        <v>668000</v>
      </c>
      <c r="Q521" s="951">
        <f t="shared" si="1209"/>
        <v>638000</v>
      </c>
      <c r="R521" s="951">
        <f t="shared" si="1209"/>
        <v>30000</v>
      </c>
      <c r="S521" s="950">
        <f t="shared" si="1209"/>
        <v>0</v>
      </c>
      <c r="T521" s="951">
        <f t="shared" si="1209"/>
        <v>0</v>
      </c>
      <c r="U521" s="951">
        <f t="shared" si="1209"/>
        <v>0</v>
      </c>
      <c r="V521" s="950">
        <f t="shared" si="1209"/>
        <v>0</v>
      </c>
      <c r="W521" s="951">
        <f t="shared" si="1209"/>
        <v>0</v>
      </c>
      <c r="X521" s="951">
        <f t="shared" si="1209"/>
        <v>0</v>
      </c>
    </row>
    <row r="522" spans="1:24" ht="15.75" hidden="1" customHeight="1">
      <c r="A522" s="955"/>
      <c r="B522" s="989"/>
      <c r="C522" s="956"/>
      <c r="D522" s="990"/>
      <c r="E522" s="954"/>
      <c r="F522" s="954"/>
      <c r="G522" s="954"/>
      <c r="H522" s="548" t="s">
        <v>220</v>
      </c>
      <c r="I522" s="548" t="s">
        <v>220</v>
      </c>
      <c r="J522" s="959"/>
      <c r="K522" s="950"/>
      <c r="L522" s="950"/>
      <c r="M522" s="951"/>
      <c r="N522" s="951"/>
      <c r="O522" s="950"/>
      <c r="P522" s="950"/>
      <c r="Q522" s="951"/>
      <c r="R522" s="951"/>
      <c r="S522" s="950"/>
      <c r="T522" s="951"/>
      <c r="U522" s="951"/>
      <c r="V522" s="950"/>
      <c r="W522" s="951"/>
      <c r="X522" s="951"/>
    </row>
    <row r="523" spans="1:24" ht="14.25" hidden="1" customHeight="1">
      <c r="A523" s="955">
        <v>7</v>
      </c>
      <c r="B523" s="989" t="s">
        <v>700</v>
      </c>
      <c r="C523" s="956" t="s">
        <v>1050</v>
      </c>
      <c r="D523" s="990" t="s">
        <v>699</v>
      </c>
      <c r="E523" s="954" t="s">
        <v>236</v>
      </c>
      <c r="F523" s="954" t="s">
        <v>1107</v>
      </c>
      <c r="G523" s="954" t="s">
        <v>1081</v>
      </c>
      <c r="H523" s="548" t="s">
        <v>220</v>
      </c>
      <c r="I523" s="548" t="s">
        <v>220</v>
      </c>
      <c r="J523" s="958" t="s">
        <v>13</v>
      </c>
      <c r="K523" s="950">
        <f t="shared" ref="K523" si="1210">L523+O523</f>
        <v>1358000</v>
      </c>
      <c r="L523" s="950">
        <f t="shared" ref="L523" si="1211">M523+N523</f>
        <v>0</v>
      </c>
      <c r="M523" s="951">
        <v>0</v>
      </c>
      <c r="N523" s="951">
        <v>0</v>
      </c>
      <c r="O523" s="950">
        <f t="shared" ref="O523" si="1212">P523+S523+V523</f>
        <v>1358000</v>
      </c>
      <c r="P523" s="950">
        <f t="shared" ref="P523" si="1213">Q523+R523</f>
        <v>1358000</v>
      </c>
      <c r="Q523" s="951">
        <v>1295000</v>
      </c>
      <c r="R523" s="951">
        <v>63000</v>
      </c>
      <c r="S523" s="950">
        <f t="shared" ref="S523" si="1214">T523+U523</f>
        <v>0</v>
      </c>
      <c r="T523" s="951">
        <v>0</v>
      </c>
      <c r="U523" s="951">
        <v>0</v>
      </c>
      <c r="V523" s="950">
        <f t="shared" ref="V523" si="1215">W523+X523</f>
        <v>0</v>
      </c>
      <c r="W523" s="951">
        <v>0</v>
      </c>
      <c r="X523" s="951">
        <v>0</v>
      </c>
    </row>
    <row r="524" spans="1:24" ht="14.25" hidden="1" customHeight="1">
      <c r="A524" s="955"/>
      <c r="B524" s="989"/>
      <c r="C524" s="956"/>
      <c r="D524" s="990"/>
      <c r="E524" s="954"/>
      <c r="F524" s="954"/>
      <c r="G524" s="954"/>
      <c r="H524" s="548" t="s">
        <v>220</v>
      </c>
      <c r="I524" s="548" t="s">
        <v>220</v>
      </c>
      <c r="J524" s="959"/>
      <c r="K524" s="950"/>
      <c r="L524" s="950"/>
      <c r="M524" s="951"/>
      <c r="N524" s="951"/>
      <c r="O524" s="950"/>
      <c r="P524" s="950"/>
      <c r="Q524" s="951"/>
      <c r="R524" s="951"/>
      <c r="S524" s="950"/>
      <c r="T524" s="951"/>
      <c r="U524" s="951"/>
      <c r="V524" s="950"/>
      <c r="W524" s="951"/>
      <c r="X524" s="951"/>
    </row>
    <row r="525" spans="1:24" ht="14.25" hidden="1" customHeight="1">
      <c r="A525" s="955"/>
      <c r="B525" s="989"/>
      <c r="C525" s="956"/>
      <c r="D525" s="990"/>
      <c r="E525" s="954"/>
      <c r="F525" s="954"/>
      <c r="G525" s="954"/>
      <c r="H525" s="548" t="s">
        <v>220</v>
      </c>
      <c r="I525" s="548" t="s">
        <v>220</v>
      </c>
      <c r="J525" s="548" t="s">
        <v>14</v>
      </c>
      <c r="K525" s="550">
        <f t="shared" ref="K525" si="1216">L525+O525</f>
        <v>0</v>
      </c>
      <c r="L525" s="550">
        <f t="shared" ref="L525" si="1217">M525+N525</f>
        <v>0</v>
      </c>
      <c r="M525" s="551">
        <v>0</v>
      </c>
      <c r="N525" s="551">
        <v>0</v>
      </c>
      <c r="O525" s="550">
        <f t="shared" ref="O525" si="1218">P525+S525+V525</f>
        <v>0</v>
      </c>
      <c r="P525" s="550">
        <f t="shared" ref="P525" si="1219">Q525+R525</f>
        <v>0</v>
      </c>
      <c r="Q525" s="551">
        <v>0</v>
      </c>
      <c r="R525" s="551">
        <v>0</v>
      </c>
      <c r="S525" s="550">
        <f t="shared" ref="S525" si="1220">T525+U525</f>
        <v>0</v>
      </c>
      <c r="T525" s="551">
        <v>0</v>
      </c>
      <c r="U525" s="551">
        <v>0</v>
      </c>
      <c r="V525" s="550">
        <f t="shared" ref="V525" si="1221">W525+X525</f>
        <v>0</v>
      </c>
      <c r="W525" s="551">
        <v>0</v>
      </c>
      <c r="X525" s="551">
        <v>0</v>
      </c>
    </row>
    <row r="526" spans="1:24" ht="14.25" hidden="1" customHeight="1">
      <c r="A526" s="955"/>
      <c r="B526" s="989"/>
      <c r="C526" s="956"/>
      <c r="D526" s="990"/>
      <c r="E526" s="954"/>
      <c r="F526" s="954"/>
      <c r="G526" s="954"/>
      <c r="H526" s="548" t="s">
        <v>220</v>
      </c>
      <c r="I526" s="548" t="s">
        <v>220</v>
      </c>
      <c r="J526" s="958" t="s">
        <v>15</v>
      </c>
      <c r="K526" s="950">
        <f t="shared" ref="K526:X526" si="1222">K523+K525</f>
        <v>1358000</v>
      </c>
      <c r="L526" s="950">
        <f t="shared" si="1222"/>
        <v>0</v>
      </c>
      <c r="M526" s="951">
        <f t="shared" si="1222"/>
        <v>0</v>
      </c>
      <c r="N526" s="951">
        <f t="shared" si="1222"/>
        <v>0</v>
      </c>
      <c r="O526" s="950">
        <f t="shared" si="1222"/>
        <v>1358000</v>
      </c>
      <c r="P526" s="950">
        <f t="shared" si="1222"/>
        <v>1358000</v>
      </c>
      <c r="Q526" s="951">
        <f t="shared" si="1222"/>
        <v>1295000</v>
      </c>
      <c r="R526" s="951">
        <f t="shared" si="1222"/>
        <v>63000</v>
      </c>
      <c r="S526" s="950">
        <f t="shared" si="1222"/>
        <v>0</v>
      </c>
      <c r="T526" s="951">
        <f t="shared" si="1222"/>
        <v>0</v>
      </c>
      <c r="U526" s="951">
        <f t="shared" si="1222"/>
        <v>0</v>
      </c>
      <c r="V526" s="950">
        <f t="shared" si="1222"/>
        <v>0</v>
      </c>
      <c r="W526" s="951">
        <f t="shared" si="1222"/>
        <v>0</v>
      </c>
      <c r="X526" s="951">
        <f t="shared" si="1222"/>
        <v>0</v>
      </c>
    </row>
    <row r="527" spans="1:24" ht="14.25" hidden="1" customHeight="1">
      <c r="A527" s="955"/>
      <c r="B527" s="989"/>
      <c r="C527" s="956"/>
      <c r="D527" s="990"/>
      <c r="E527" s="954"/>
      <c r="F527" s="954"/>
      <c r="G527" s="954"/>
      <c r="H527" s="548" t="s">
        <v>220</v>
      </c>
      <c r="I527" s="548" t="s">
        <v>220</v>
      </c>
      <c r="J527" s="959"/>
      <c r="K527" s="950"/>
      <c r="L527" s="950"/>
      <c r="M527" s="951"/>
      <c r="N527" s="951"/>
      <c r="O527" s="950"/>
      <c r="P527" s="950"/>
      <c r="Q527" s="951"/>
      <c r="R527" s="951"/>
      <c r="S527" s="950"/>
      <c r="T527" s="951"/>
      <c r="U527" s="951"/>
      <c r="V527" s="950"/>
      <c r="W527" s="951"/>
      <c r="X527" s="951"/>
    </row>
    <row r="528" spans="1:24" ht="14.25" hidden="1" customHeight="1">
      <c r="A528" s="955">
        <v>8</v>
      </c>
      <c r="B528" s="989" t="s">
        <v>736</v>
      </c>
      <c r="C528" s="956" t="s">
        <v>1060</v>
      </c>
      <c r="D528" s="990" t="s">
        <v>735</v>
      </c>
      <c r="E528" s="954" t="s">
        <v>236</v>
      </c>
      <c r="F528" s="954" t="s">
        <v>1108</v>
      </c>
      <c r="G528" s="954" t="s">
        <v>1081</v>
      </c>
      <c r="H528" s="548" t="s">
        <v>220</v>
      </c>
      <c r="I528" s="548" t="s">
        <v>220</v>
      </c>
      <c r="J528" s="958" t="s">
        <v>13</v>
      </c>
      <c r="K528" s="950">
        <f t="shared" ref="K528" si="1223">L528+O528</f>
        <v>900000</v>
      </c>
      <c r="L528" s="950">
        <f t="shared" ref="L528" si="1224">M528+N528</f>
        <v>0</v>
      </c>
      <c r="M528" s="951">
        <v>0</v>
      </c>
      <c r="N528" s="951">
        <v>0</v>
      </c>
      <c r="O528" s="950">
        <f t="shared" ref="O528" si="1225">P528+S528+V528</f>
        <v>900000</v>
      </c>
      <c r="P528" s="950">
        <f t="shared" ref="P528" si="1226">Q528+R528</f>
        <v>900000</v>
      </c>
      <c r="Q528" s="951">
        <v>900000</v>
      </c>
      <c r="R528" s="951">
        <v>0</v>
      </c>
      <c r="S528" s="950">
        <f t="shared" ref="S528" si="1227">T528+U528</f>
        <v>0</v>
      </c>
      <c r="T528" s="951">
        <v>0</v>
      </c>
      <c r="U528" s="951">
        <v>0</v>
      </c>
      <c r="V528" s="950">
        <f t="shared" ref="V528" si="1228">W528+X528</f>
        <v>0</v>
      </c>
      <c r="W528" s="951">
        <v>0</v>
      </c>
      <c r="X528" s="951">
        <v>0</v>
      </c>
    </row>
    <row r="529" spans="1:24" ht="14.25" hidden="1" customHeight="1">
      <c r="A529" s="955"/>
      <c r="B529" s="989"/>
      <c r="C529" s="956"/>
      <c r="D529" s="990"/>
      <c r="E529" s="954"/>
      <c r="F529" s="954"/>
      <c r="G529" s="954"/>
      <c r="H529" s="548" t="s">
        <v>220</v>
      </c>
      <c r="I529" s="548" t="s">
        <v>220</v>
      </c>
      <c r="J529" s="959"/>
      <c r="K529" s="950"/>
      <c r="L529" s="950"/>
      <c r="M529" s="951"/>
      <c r="N529" s="951"/>
      <c r="O529" s="950"/>
      <c r="P529" s="950"/>
      <c r="Q529" s="951"/>
      <c r="R529" s="951"/>
      <c r="S529" s="950"/>
      <c r="T529" s="951"/>
      <c r="U529" s="951"/>
      <c r="V529" s="950"/>
      <c r="W529" s="951"/>
      <c r="X529" s="951"/>
    </row>
    <row r="530" spans="1:24" ht="14.25" hidden="1" customHeight="1">
      <c r="A530" s="955"/>
      <c r="B530" s="989"/>
      <c r="C530" s="956"/>
      <c r="D530" s="990"/>
      <c r="E530" s="954"/>
      <c r="F530" s="954"/>
      <c r="G530" s="954"/>
      <c r="H530" s="548" t="s">
        <v>220</v>
      </c>
      <c r="I530" s="548" t="s">
        <v>220</v>
      </c>
      <c r="J530" s="548" t="s">
        <v>14</v>
      </c>
      <c r="K530" s="550">
        <f t="shared" ref="K530" si="1229">L530+O530</f>
        <v>0</v>
      </c>
      <c r="L530" s="550">
        <f t="shared" ref="L530" si="1230">M530+N530</f>
        <v>0</v>
      </c>
      <c r="M530" s="551">
        <v>0</v>
      </c>
      <c r="N530" s="551">
        <v>0</v>
      </c>
      <c r="O530" s="550">
        <f t="shared" ref="O530" si="1231">P530+S530+V530</f>
        <v>0</v>
      </c>
      <c r="P530" s="550">
        <f t="shared" ref="P530" si="1232">Q530+R530</f>
        <v>0</v>
      </c>
      <c r="Q530" s="551">
        <v>0</v>
      </c>
      <c r="R530" s="551">
        <v>0</v>
      </c>
      <c r="S530" s="550">
        <f t="shared" ref="S530" si="1233">T530+U530</f>
        <v>0</v>
      </c>
      <c r="T530" s="551">
        <v>0</v>
      </c>
      <c r="U530" s="551">
        <v>0</v>
      </c>
      <c r="V530" s="550">
        <f t="shared" ref="V530" si="1234">W530+X530</f>
        <v>0</v>
      </c>
      <c r="W530" s="551">
        <v>0</v>
      </c>
      <c r="X530" s="551">
        <v>0</v>
      </c>
    </row>
    <row r="531" spans="1:24" ht="14.25" hidden="1" customHeight="1">
      <c r="A531" s="955"/>
      <c r="B531" s="989"/>
      <c r="C531" s="956"/>
      <c r="D531" s="990"/>
      <c r="E531" s="954"/>
      <c r="F531" s="954"/>
      <c r="G531" s="954"/>
      <c r="H531" s="548" t="s">
        <v>220</v>
      </c>
      <c r="I531" s="548" t="s">
        <v>220</v>
      </c>
      <c r="J531" s="958" t="s">
        <v>15</v>
      </c>
      <c r="K531" s="950">
        <f t="shared" ref="K531:X531" si="1235">K528+K530</f>
        <v>900000</v>
      </c>
      <c r="L531" s="950">
        <f t="shared" si="1235"/>
        <v>0</v>
      </c>
      <c r="M531" s="951">
        <f t="shared" si="1235"/>
        <v>0</v>
      </c>
      <c r="N531" s="951">
        <f t="shared" si="1235"/>
        <v>0</v>
      </c>
      <c r="O531" s="950">
        <f t="shared" si="1235"/>
        <v>900000</v>
      </c>
      <c r="P531" s="950">
        <f t="shared" si="1235"/>
        <v>900000</v>
      </c>
      <c r="Q531" s="951">
        <f t="shared" si="1235"/>
        <v>900000</v>
      </c>
      <c r="R531" s="951">
        <f t="shared" si="1235"/>
        <v>0</v>
      </c>
      <c r="S531" s="950">
        <f t="shared" si="1235"/>
        <v>0</v>
      </c>
      <c r="T531" s="951">
        <f t="shared" si="1235"/>
        <v>0</v>
      </c>
      <c r="U531" s="951">
        <f t="shared" si="1235"/>
        <v>0</v>
      </c>
      <c r="V531" s="950">
        <f t="shared" si="1235"/>
        <v>0</v>
      </c>
      <c r="W531" s="951">
        <f t="shared" si="1235"/>
        <v>0</v>
      </c>
      <c r="X531" s="951">
        <f t="shared" si="1235"/>
        <v>0</v>
      </c>
    </row>
    <row r="532" spans="1:24" ht="14.25" hidden="1" customHeight="1">
      <c r="A532" s="955"/>
      <c r="B532" s="989"/>
      <c r="C532" s="956"/>
      <c r="D532" s="990"/>
      <c r="E532" s="954"/>
      <c r="F532" s="954"/>
      <c r="G532" s="954"/>
      <c r="H532" s="548" t="s">
        <v>220</v>
      </c>
      <c r="I532" s="548" t="s">
        <v>220</v>
      </c>
      <c r="J532" s="959"/>
      <c r="K532" s="950"/>
      <c r="L532" s="950"/>
      <c r="M532" s="951"/>
      <c r="N532" s="951"/>
      <c r="O532" s="950"/>
      <c r="P532" s="950"/>
      <c r="Q532" s="951"/>
      <c r="R532" s="951"/>
      <c r="S532" s="950"/>
      <c r="T532" s="951"/>
      <c r="U532" s="951"/>
      <c r="V532" s="950"/>
      <c r="W532" s="951"/>
      <c r="X532" s="951"/>
    </row>
    <row r="533" spans="1:24" ht="14.25" hidden="1" customHeight="1">
      <c r="A533" s="955">
        <v>5</v>
      </c>
      <c r="B533" s="989" t="s">
        <v>733</v>
      </c>
      <c r="C533" s="956" t="s">
        <v>1050</v>
      </c>
      <c r="D533" s="990" t="s">
        <v>732</v>
      </c>
      <c r="E533" s="954" t="s">
        <v>236</v>
      </c>
      <c r="F533" s="954" t="s">
        <v>1108</v>
      </c>
      <c r="G533" s="954" t="s">
        <v>1081</v>
      </c>
      <c r="H533" s="548" t="s">
        <v>220</v>
      </c>
      <c r="I533" s="548" t="s">
        <v>220</v>
      </c>
      <c r="J533" s="958" t="s">
        <v>13</v>
      </c>
      <c r="K533" s="950">
        <f t="shared" ref="K533" si="1236">L533+O533</f>
        <v>960000</v>
      </c>
      <c r="L533" s="950">
        <f t="shared" ref="L533" si="1237">M533+N533</f>
        <v>0</v>
      </c>
      <c r="M533" s="951">
        <v>0</v>
      </c>
      <c r="N533" s="951">
        <v>0</v>
      </c>
      <c r="O533" s="950">
        <f t="shared" ref="O533" si="1238">P533+S533+V533</f>
        <v>960000</v>
      </c>
      <c r="P533" s="950">
        <f t="shared" ref="P533" si="1239">Q533+R533</f>
        <v>960000</v>
      </c>
      <c r="Q533" s="951">
        <v>960000</v>
      </c>
      <c r="R533" s="951">
        <v>0</v>
      </c>
      <c r="S533" s="950">
        <f t="shared" ref="S533" si="1240">T533+U533</f>
        <v>0</v>
      </c>
      <c r="T533" s="951">
        <v>0</v>
      </c>
      <c r="U533" s="951">
        <v>0</v>
      </c>
      <c r="V533" s="950">
        <f t="shared" ref="V533" si="1241">W533+X533</f>
        <v>0</v>
      </c>
      <c r="W533" s="951">
        <v>0</v>
      </c>
      <c r="X533" s="951">
        <v>0</v>
      </c>
    </row>
    <row r="534" spans="1:24" ht="14.25" hidden="1" customHeight="1">
      <c r="A534" s="955"/>
      <c r="B534" s="989"/>
      <c r="C534" s="956"/>
      <c r="D534" s="990"/>
      <c r="E534" s="954"/>
      <c r="F534" s="954"/>
      <c r="G534" s="954"/>
      <c r="H534" s="548" t="s">
        <v>220</v>
      </c>
      <c r="I534" s="548" t="s">
        <v>220</v>
      </c>
      <c r="J534" s="959"/>
      <c r="K534" s="950"/>
      <c r="L534" s="950"/>
      <c r="M534" s="951"/>
      <c r="N534" s="951"/>
      <c r="O534" s="950"/>
      <c r="P534" s="950"/>
      <c r="Q534" s="951"/>
      <c r="R534" s="951"/>
      <c r="S534" s="950"/>
      <c r="T534" s="951"/>
      <c r="U534" s="951"/>
      <c r="V534" s="950"/>
      <c r="W534" s="951"/>
      <c r="X534" s="951"/>
    </row>
    <row r="535" spans="1:24" ht="14.25" hidden="1" customHeight="1">
      <c r="A535" s="955"/>
      <c r="B535" s="989"/>
      <c r="C535" s="956"/>
      <c r="D535" s="990"/>
      <c r="E535" s="954"/>
      <c r="F535" s="954"/>
      <c r="G535" s="954"/>
      <c r="H535" s="548" t="s">
        <v>220</v>
      </c>
      <c r="I535" s="548" t="s">
        <v>220</v>
      </c>
      <c r="J535" s="548" t="s">
        <v>14</v>
      </c>
      <c r="K535" s="550">
        <f t="shared" ref="K535" si="1242">L535+O535</f>
        <v>0</v>
      </c>
      <c r="L535" s="550">
        <f t="shared" ref="L535" si="1243">M535+N535</f>
        <v>0</v>
      </c>
      <c r="M535" s="551">
        <v>0</v>
      </c>
      <c r="N535" s="551">
        <v>0</v>
      </c>
      <c r="O535" s="550">
        <f t="shared" ref="O535" si="1244">P535+S535+V535</f>
        <v>0</v>
      </c>
      <c r="P535" s="550">
        <f t="shared" ref="P535" si="1245">Q535+R535</f>
        <v>0</v>
      </c>
      <c r="Q535" s="551">
        <v>0</v>
      </c>
      <c r="R535" s="551">
        <v>0</v>
      </c>
      <c r="S535" s="550">
        <f t="shared" ref="S535" si="1246">T535+U535</f>
        <v>0</v>
      </c>
      <c r="T535" s="551">
        <v>0</v>
      </c>
      <c r="U535" s="551">
        <v>0</v>
      </c>
      <c r="V535" s="550">
        <f t="shared" ref="V535" si="1247">W535+X535</f>
        <v>0</v>
      </c>
      <c r="W535" s="551">
        <v>0</v>
      </c>
      <c r="X535" s="551">
        <v>0</v>
      </c>
    </row>
    <row r="536" spans="1:24" ht="14.25" hidden="1" customHeight="1">
      <c r="A536" s="955"/>
      <c r="B536" s="989"/>
      <c r="C536" s="956"/>
      <c r="D536" s="990"/>
      <c r="E536" s="954"/>
      <c r="F536" s="954"/>
      <c r="G536" s="954"/>
      <c r="H536" s="548" t="s">
        <v>220</v>
      </c>
      <c r="I536" s="548" t="s">
        <v>220</v>
      </c>
      <c r="J536" s="958" t="s">
        <v>15</v>
      </c>
      <c r="K536" s="950">
        <f t="shared" ref="K536:X536" si="1248">K533+K535</f>
        <v>960000</v>
      </c>
      <c r="L536" s="950">
        <f t="shared" si="1248"/>
        <v>0</v>
      </c>
      <c r="M536" s="951">
        <f t="shared" si="1248"/>
        <v>0</v>
      </c>
      <c r="N536" s="951">
        <f t="shared" si="1248"/>
        <v>0</v>
      </c>
      <c r="O536" s="950">
        <f t="shared" si="1248"/>
        <v>960000</v>
      </c>
      <c r="P536" s="950">
        <f t="shared" si="1248"/>
        <v>960000</v>
      </c>
      <c r="Q536" s="951">
        <f t="shared" si="1248"/>
        <v>960000</v>
      </c>
      <c r="R536" s="951">
        <f t="shared" si="1248"/>
        <v>0</v>
      </c>
      <c r="S536" s="950">
        <f t="shared" si="1248"/>
        <v>0</v>
      </c>
      <c r="T536" s="951">
        <f t="shared" si="1248"/>
        <v>0</v>
      </c>
      <c r="U536" s="951">
        <f t="shared" si="1248"/>
        <v>0</v>
      </c>
      <c r="V536" s="950">
        <f t="shared" si="1248"/>
        <v>0</v>
      </c>
      <c r="W536" s="951">
        <f t="shared" si="1248"/>
        <v>0</v>
      </c>
      <c r="X536" s="951">
        <f t="shared" si="1248"/>
        <v>0</v>
      </c>
    </row>
    <row r="537" spans="1:24" ht="14.25" hidden="1" customHeight="1">
      <c r="A537" s="955"/>
      <c r="B537" s="989"/>
      <c r="C537" s="956"/>
      <c r="D537" s="990"/>
      <c r="E537" s="954"/>
      <c r="F537" s="954"/>
      <c r="G537" s="954"/>
      <c r="H537" s="548" t="s">
        <v>220</v>
      </c>
      <c r="I537" s="548" t="s">
        <v>220</v>
      </c>
      <c r="J537" s="959"/>
      <c r="K537" s="950"/>
      <c r="L537" s="950"/>
      <c r="M537" s="951"/>
      <c r="N537" s="951"/>
      <c r="O537" s="950"/>
      <c r="P537" s="950"/>
      <c r="Q537" s="951"/>
      <c r="R537" s="951"/>
      <c r="S537" s="950"/>
      <c r="T537" s="951"/>
      <c r="U537" s="951"/>
      <c r="V537" s="950"/>
      <c r="W537" s="951"/>
      <c r="X537" s="951"/>
    </row>
    <row r="538" spans="1:24" s="564" customFormat="1" ht="14.1" customHeight="1">
      <c r="A538" s="968" t="s">
        <v>1109</v>
      </c>
      <c r="B538" s="968"/>
      <c r="C538" s="968"/>
      <c r="D538" s="968"/>
      <c r="E538" s="968"/>
      <c r="F538" s="968"/>
      <c r="G538" s="968"/>
      <c r="H538" s="548" t="s">
        <v>220</v>
      </c>
      <c r="I538" s="548" t="s">
        <v>220</v>
      </c>
      <c r="J538" s="1001" t="s">
        <v>13</v>
      </c>
      <c r="K538" s="1003">
        <f>K388+K393+K398+K408+K413+K418+K423+K428+K433+K438+K443+K448+K453+K458+K468+K473+K478+K483+K488+K493+K498+K503+K508+K513+K518+K523+K528+K533+K463+K403</f>
        <v>35728710</v>
      </c>
      <c r="L538" s="1003">
        <f t="shared" ref="L538:X538" si="1249">L388+L393+L398+L408+L413+L418+L423+L428+L433+L438+L443+L448+L453+L458+L468+L473+L478+L483+L488+L493+L498+L503+L508+L513+L518+L523+L528+L533+L463+L403</f>
        <v>0</v>
      </c>
      <c r="M538" s="1003">
        <f t="shared" si="1249"/>
        <v>0</v>
      </c>
      <c r="N538" s="1003">
        <f t="shared" si="1249"/>
        <v>0</v>
      </c>
      <c r="O538" s="1003">
        <f t="shared" si="1249"/>
        <v>35728710</v>
      </c>
      <c r="P538" s="1003">
        <f t="shared" si="1249"/>
        <v>35728710</v>
      </c>
      <c r="Q538" s="1003">
        <f t="shared" si="1249"/>
        <v>14549439</v>
      </c>
      <c r="R538" s="1003">
        <f t="shared" si="1249"/>
        <v>21179271</v>
      </c>
      <c r="S538" s="1003">
        <f t="shared" si="1249"/>
        <v>0</v>
      </c>
      <c r="T538" s="1003">
        <f t="shared" si="1249"/>
        <v>0</v>
      </c>
      <c r="U538" s="1003">
        <f t="shared" si="1249"/>
        <v>0</v>
      </c>
      <c r="V538" s="1003">
        <f t="shared" si="1249"/>
        <v>0</v>
      </c>
      <c r="W538" s="1003">
        <f t="shared" si="1249"/>
        <v>0</v>
      </c>
      <c r="X538" s="1003">
        <f t="shared" si="1249"/>
        <v>0</v>
      </c>
    </row>
    <row r="539" spans="1:24" s="565" customFormat="1" ht="14.1" customHeight="1">
      <c r="A539" s="968"/>
      <c r="B539" s="968"/>
      <c r="C539" s="968"/>
      <c r="D539" s="968"/>
      <c r="E539" s="968"/>
      <c r="F539" s="968"/>
      <c r="G539" s="968"/>
      <c r="H539" s="548" t="s">
        <v>220</v>
      </c>
      <c r="I539" s="548" t="s">
        <v>220</v>
      </c>
      <c r="J539" s="1002"/>
      <c r="K539" s="1003"/>
      <c r="L539" s="1003"/>
      <c r="M539" s="1003"/>
      <c r="N539" s="1003"/>
      <c r="O539" s="1003"/>
      <c r="P539" s="1003"/>
      <c r="Q539" s="1003"/>
      <c r="R539" s="1003"/>
      <c r="S539" s="1003"/>
      <c r="T539" s="1003"/>
      <c r="U539" s="1003"/>
      <c r="V539" s="1003"/>
      <c r="W539" s="1003"/>
      <c r="X539" s="1003"/>
    </row>
    <row r="540" spans="1:24" s="565" customFormat="1" ht="14.1" customHeight="1">
      <c r="A540" s="968"/>
      <c r="B540" s="968"/>
      <c r="C540" s="968"/>
      <c r="D540" s="968"/>
      <c r="E540" s="968"/>
      <c r="F540" s="968"/>
      <c r="G540" s="968"/>
      <c r="H540" s="548" t="s">
        <v>220</v>
      </c>
      <c r="I540" s="548" t="s">
        <v>220</v>
      </c>
      <c r="J540" s="555" t="s">
        <v>14</v>
      </c>
      <c r="K540" s="556">
        <f>K390+K395+K400+K410+K415+K420+K425+K430+K435+K440+K445+K450+K455+K460+K470+K475+K480+K485+K490+K495+K500+K505+K510+K515+K520+K525+K530+K535+K465+K405</f>
        <v>14270916</v>
      </c>
      <c r="L540" s="556">
        <f t="shared" ref="L540:X540" si="1250">L390+L395+L400+L410+L415+L420+L425+L430+L435+L440+L445+L450+L455+L460+L470+L475+L480+L485+L490+L495+L500+L505+L510+L515+L520+L525+L530+L535+L465+L405</f>
        <v>0</v>
      </c>
      <c r="M540" s="556">
        <f t="shared" si="1250"/>
        <v>0</v>
      </c>
      <c r="N540" s="556">
        <f t="shared" si="1250"/>
        <v>0</v>
      </c>
      <c r="O540" s="556">
        <f t="shared" si="1250"/>
        <v>14270916</v>
      </c>
      <c r="P540" s="556">
        <f t="shared" si="1250"/>
        <v>14270916</v>
      </c>
      <c r="Q540" s="556">
        <f t="shared" si="1250"/>
        <v>5297</v>
      </c>
      <c r="R540" s="556">
        <f t="shared" si="1250"/>
        <v>14265619</v>
      </c>
      <c r="S540" s="556">
        <f t="shared" si="1250"/>
        <v>0</v>
      </c>
      <c r="T540" s="556">
        <f t="shared" si="1250"/>
        <v>0</v>
      </c>
      <c r="U540" s="556">
        <f t="shared" si="1250"/>
        <v>0</v>
      </c>
      <c r="V540" s="556">
        <f t="shared" si="1250"/>
        <v>0</v>
      </c>
      <c r="W540" s="556">
        <f t="shared" si="1250"/>
        <v>0</v>
      </c>
      <c r="X540" s="556">
        <f t="shared" si="1250"/>
        <v>0</v>
      </c>
    </row>
    <row r="541" spans="1:24" s="565" customFormat="1" ht="14.1" customHeight="1">
      <c r="A541" s="968"/>
      <c r="B541" s="968"/>
      <c r="C541" s="968"/>
      <c r="D541" s="968"/>
      <c r="E541" s="968"/>
      <c r="F541" s="968"/>
      <c r="G541" s="968"/>
      <c r="H541" s="548" t="s">
        <v>220</v>
      </c>
      <c r="I541" s="548" t="s">
        <v>220</v>
      </c>
      <c r="J541" s="1001" t="s">
        <v>15</v>
      </c>
      <c r="K541" s="1003">
        <f>K538+K540</f>
        <v>49999626</v>
      </c>
      <c r="L541" s="1003">
        <f t="shared" ref="L541:X541" si="1251">L538+L540</f>
        <v>0</v>
      </c>
      <c r="M541" s="1003">
        <f t="shared" si="1251"/>
        <v>0</v>
      </c>
      <c r="N541" s="1003">
        <f t="shared" si="1251"/>
        <v>0</v>
      </c>
      <c r="O541" s="1003">
        <f t="shared" si="1251"/>
        <v>49999626</v>
      </c>
      <c r="P541" s="1003">
        <f t="shared" si="1251"/>
        <v>49999626</v>
      </c>
      <c r="Q541" s="1003">
        <f t="shared" si="1251"/>
        <v>14554736</v>
      </c>
      <c r="R541" s="1003">
        <f t="shared" si="1251"/>
        <v>35444890</v>
      </c>
      <c r="S541" s="1003">
        <f t="shared" si="1251"/>
        <v>0</v>
      </c>
      <c r="T541" s="1003">
        <f t="shared" si="1251"/>
        <v>0</v>
      </c>
      <c r="U541" s="1003">
        <f t="shared" si="1251"/>
        <v>0</v>
      </c>
      <c r="V541" s="1003">
        <f t="shared" si="1251"/>
        <v>0</v>
      </c>
      <c r="W541" s="1003">
        <f t="shared" si="1251"/>
        <v>0</v>
      </c>
      <c r="X541" s="1003">
        <f t="shared" si="1251"/>
        <v>0</v>
      </c>
    </row>
    <row r="542" spans="1:24" s="565" customFormat="1" ht="14.1" customHeight="1">
      <c r="A542" s="968"/>
      <c r="B542" s="968"/>
      <c r="C542" s="968"/>
      <c r="D542" s="968"/>
      <c r="E542" s="968"/>
      <c r="F542" s="968"/>
      <c r="G542" s="968"/>
      <c r="H542" s="548" t="s">
        <v>220</v>
      </c>
      <c r="I542" s="548" t="s">
        <v>220</v>
      </c>
      <c r="J542" s="1002"/>
      <c r="K542" s="1003"/>
      <c r="L542" s="1003"/>
      <c r="M542" s="1003"/>
      <c r="N542" s="1003"/>
      <c r="O542" s="1003"/>
      <c r="P542" s="1003"/>
      <c r="Q542" s="1003"/>
      <c r="R542" s="1003"/>
      <c r="S542" s="1003"/>
      <c r="T542" s="1003"/>
      <c r="U542" s="1003"/>
      <c r="V542" s="1003"/>
      <c r="W542" s="1003"/>
      <c r="X542" s="1003"/>
    </row>
    <row r="543" spans="1:24" s="567" customFormat="1" ht="17.100000000000001" customHeight="1">
      <c r="A543" s="1020" t="s">
        <v>919</v>
      </c>
      <c r="B543" s="1020"/>
      <c r="C543" s="1020"/>
      <c r="D543" s="1020"/>
      <c r="E543" s="1020"/>
      <c r="F543" s="1020"/>
      <c r="G543" s="1020"/>
      <c r="H543" s="566">
        <f>H380+H337</f>
        <v>1620982277</v>
      </c>
      <c r="I543" s="566">
        <f t="shared" ref="H543:I547" si="1252">I380+I337</f>
        <v>559808169</v>
      </c>
      <c r="J543" s="1001" t="s">
        <v>13</v>
      </c>
      <c r="K543" s="1003">
        <f>K538+K337+K380</f>
        <v>597191655</v>
      </c>
      <c r="L543" s="1003">
        <f t="shared" ref="L543:X543" si="1253">L538+L337+L380</f>
        <v>473068106</v>
      </c>
      <c r="M543" s="1003">
        <f t="shared" si="1253"/>
        <v>167179540</v>
      </c>
      <c r="N543" s="1003">
        <f t="shared" si="1253"/>
        <v>305888566</v>
      </c>
      <c r="O543" s="1003">
        <f t="shared" si="1253"/>
        <v>124123549</v>
      </c>
      <c r="P543" s="1003">
        <f t="shared" si="1253"/>
        <v>52048285</v>
      </c>
      <c r="Q543" s="1003">
        <f t="shared" si="1253"/>
        <v>23293312</v>
      </c>
      <c r="R543" s="1003">
        <f t="shared" si="1253"/>
        <v>28754973</v>
      </c>
      <c r="S543" s="1003">
        <f t="shared" si="1253"/>
        <v>57586293</v>
      </c>
      <c r="T543" s="1003">
        <f t="shared" si="1253"/>
        <v>12867868</v>
      </c>
      <c r="U543" s="1003">
        <f t="shared" si="1253"/>
        <v>44718425</v>
      </c>
      <c r="V543" s="1003">
        <f t="shared" si="1253"/>
        <v>14488971</v>
      </c>
      <c r="W543" s="1003">
        <f t="shared" si="1253"/>
        <v>967776</v>
      </c>
      <c r="X543" s="1003">
        <f t="shared" si="1253"/>
        <v>13521195</v>
      </c>
    </row>
    <row r="544" spans="1:24" s="568" customFormat="1" ht="17.100000000000001" customHeight="1">
      <c r="A544" s="1020"/>
      <c r="B544" s="1020"/>
      <c r="C544" s="1020"/>
      <c r="D544" s="1020"/>
      <c r="E544" s="1020"/>
      <c r="F544" s="1020"/>
      <c r="G544" s="1020"/>
      <c r="H544" s="566">
        <f t="shared" si="1252"/>
        <v>1352627811</v>
      </c>
      <c r="I544" s="566">
        <f t="shared" si="1252"/>
        <v>457630274</v>
      </c>
      <c r="J544" s="1002"/>
      <c r="K544" s="1003"/>
      <c r="L544" s="1003"/>
      <c r="M544" s="1003"/>
      <c r="N544" s="1003"/>
      <c r="O544" s="1003"/>
      <c r="P544" s="1003"/>
      <c r="Q544" s="1003"/>
      <c r="R544" s="1003"/>
      <c r="S544" s="1003"/>
      <c r="T544" s="1003"/>
      <c r="U544" s="1003"/>
      <c r="V544" s="1003"/>
      <c r="W544" s="1003"/>
      <c r="X544" s="1003"/>
    </row>
    <row r="545" spans="1:24" s="568" customFormat="1" ht="17.100000000000001" customHeight="1">
      <c r="A545" s="1020"/>
      <c r="B545" s="1020"/>
      <c r="C545" s="1020"/>
      <c r="D545" s="1020"/>
      <c r="E545" s="1020"/>
      <c r="F545" s="1020"/>
      <c r="G545" s="1020"/>
      <c r="H545" s="566">
        <f t="shared" si="1252"/>
        <v>51341085</v>
      </c>
      <c r="I545" s="566">
        <f t="shared" si="1252"/>
        <v>15300156</v>
      </c>
      <c r="J545" s="555" t="s">
        <v>14</v>
      </c>
      <c r="K545" s="556">
        <f>K540+K382+K339</f>
        <v>96343916</v>
      </c>
      <c r="L545" s="556">
        <f t="shared" ref="L545:X545" si="1254">L540+L382+L339</f>
        <v>74674192</v>
      </c>
      <c r="M545" s="556">
        <f t="shared" si="1254"/>
        <v>21280780</v>
      </c>
      <c r="N545" s="556">
        <f t="shared" si="1254"/>
        <v>53393412</v>
      </c>
      <c r="O545" s="556">
        <f t="shared" si="1254"/>
        <v>21669724</v>
      </c>
      <c r="P545" s="556">
        <f t="shared" si="1254"/>
        <v>19057822</v>
      </c>
      <c r="Q545" s="556">
        <f t="shared" si="1254"/>
        <v>2146325</v>
      </c>
      <c r="R545" s="556">
        <f t="shared" si="1254"/>
        <v>16911497</v>
      </c>
      <c r="S545" s="556">
        <f t="shared" si="1254"/>
        <v>2001364</v>
      </c>
      <c r="T545" s="556">
        <f t="shared" si="1254"/>
        <v>422965</v>
      </c>
      <c r="U545" s="556">
        <f t="shared" si="1254"/>
        <v>1578399</v>
      </c>
      <c r="V545" s="556">
        <f t="shared" si="1254"/>
        <v>610538</v>
      </c>
      <c r="W545" s="556">
        <f t="shared" si="1254"/>
        <v>183921</v>
      </c>
      <c r="X545" s="556">
        <f t="shared" si="1254"/>
        <v>426617</v>
      </c>
    </row>
    <row r="546" spans="1:24" s="568" customFormat="1" ht="17.100000000000001" customHeight="1">
      <c r="A546" s="1020"/>
      <c r="B546" s="1020"/>
      <c r="C546" s="1020"/>
      <c r="D546" s="1020"/>
      <c r="E546" s="1020"/>
      <c r="F546" s="1020"/>
      <c r="G546" s="1020"/>
      <c r="H546" s="566">
        <f t="shared" si="1252"/>
        <v>196282082</v>
      </c>
      <c r="I546" s="566">
        <f t="shared" si="1252"/>
        <v>82177845</v>
      </c>
      <c r="J546" s="1001" t="s">
        <v>15</v>
      </c>
      <c r="K546" s="1003">
        <f>K543+K545</f>
        <v>693535571</v>
      </c>
      <c r="L546" s="1003">
        <f t="shared" ref="L546:X546" si="1255">L543+L545</f>
        <v>547742298</v>
      </c>
      <c r="M546" s="1003">
        <f t="shared" si="1255"/>
        <v>188460320</v>
      </c>
      <c r="N546" s="1003">
        <f t="shared" si="1255"/>
        <v>359281978</v>
      </c>
      <c r="O546" s="1003">
        <f t="shared" si="1255"/>
        <v>145793273</v>
      </c>
      <c r="P546" s="1003">
        <f t="shared" si="1255"/>
        <v>71106107</v>
      </c>
      <c r="Q546" s="1003">
        <f t="shared" si="1255"/>
        <v>25439637</v>
      </c>
      <c r="R546" s="1003">
        <f t="shared" si="1255"/>
        <v>45666470</v>
      </c>
      <c r="S546" s="1003">
        <f t="shared" si="1255"/>
        <v>59587657</v>
      </c>
      <c r="T546" s="1003">
        <f t="shared" si="1255"/>
        <v>13290833</v>
      </c>
      <c r="U546" s="1003">
        <f t="shared" si="1255"/>
        <v>46296824</v>
      </c>
      <c r="V546" s="1003">
        <f t="shared" si="1255"/>
        <v>15099509</v>
      </c>
      <c r="W546" s="1003">
        <f t="shared" si="1255"/>
        <v>1151697</v>
      </c>
      <c r="X546" s="1003">
        <f t="shared" si="1255"/>
        <v>13947812</v>
      </c>
    </row>
    <row r="547" spans="1:24" s="568" customFormat="1" ht="17.100000000000001" customHeight="1">
      <c r="A547" s="1020"/>
      <c r="B547" s="1020"/>
      <c r="C547" s="1020"/>
      <c r="D547" s="1020"/>
      <c r="E547" s="1020"/>
      <c r="F547" s="1020"/>
      <c r="G547" s="1020"/>
      <c r="H547" s="566">
        <f t="shared" si="1252"/>
        <v>20731299</v>
      </c>
      <c r="I547" s="566">
        <f t="shared" si="1252"/>
        <v>4699894</v>
      </c>
      <c r="J547" s="1002"/>
      <c r="K547" s="1003"/>
      <c r="L547" s="1003"/>
      <c r="M547" s="1003"/>
      <c r="N547" s="1003"/>
      <c r="O547" s="1003"/>
      <c r="P547" s="1003"/>
      <c r="Q547" s="1003"/>
      <c r="R547" s="1003"/>
      <c r="S547" s="1003"/>
      <c r="T547" s="1003"/>
      <c r="U547" s="1003"/>
      <c r="V547" s="1003"/>
      <c r="W547" s="1003"/>
      <c r="X547" s="1003"/>
    </row>
    <row r="548" spans="1:24" s="549" customFormat="1" ht="9.75" customHeight="1">
      <c r="A548" s="569" t="s">
        <v>11</v>
      </c>
    </row>
    <row r="549" spans="1:24" ht="12.75" customHeight="1">
      <c r="A549" s="570" t="s">
        <v>13</v>
      </c>
      <c r="B549" s="571" t="s">
        <v>1110</v>
      </c>
    </row>
    <row r="550" spans="1:24" ht="12.75" customHeight="1">
      <c r="A550" s="570" t="s">
        <v>14</v>
      </c>
      <c r="B550" s="571" t="s">
        <v>1111</v>
      </c>
    </row>
    <row r="551" spans="1:24" ht="12.75" customHeight="1">
      <c r="A551" s="570" t="s">
        <v>15</v>
      </c>
      <c r="B551" s="571" t="s">
        <v>1112</v>
      </c>
    </row>
  </sheetData>
  <sheetProtection password="C25B" sheet="1" objects="1" scenarios="1"/>
  <mergeCells count="3900">
    <mergeCell ref="T546:T547"/>
    <mergeCell ref="U546:U547"/>
    <mergeCell ref="V546:V547"/>
    <mergeCell ref="W546:W547"/>
    <mergeCell ref="X546:X547"/>
    <mergeCell ref="X543:X544"/>
    <mergeCell ref="J546:J547"/>
    <mergeCell ref="K546:K547"/>
    <mergeCell ref="L546:L547"/>
    <mergeCell ref="M546:M547"/>
    <mergeCell ref="N546:N547"/>
    <mergeCell ref="O546:O547"/>
    <mergeCell ref="P546:P547"/>
    <mergeCell ref="Q546:Q547"/>
    <mergeCell ref="R546:R547"/>
    <mergeCell ref="R543:R544"/>
    <mergeCell ref="S543:S544"/>
    <mergeCell ref="T543:T544"/>
    <mergeCell ref="U543:U544"/>
    <mergeCell ref="V543:V544"/>
    <mergeCell ref="W543:W544"/>
    <mergeCell ref="A543:G547"/>
    <mergeCell ref="J543:J544"/>
    <mergeCell ref="K543:K544"/>
    <mergeCell ref="L543:L544"/>
    <mergeCell ref="M543:M544"/>
    <mergeCell ref="N543:N544"/>
    <mergeCell ref="O543:O544"/>
    <mergeCell ref="P543:P544"/>
    <mergeCell ref="Q543:Q544"/>
    <mergeCell ref="R541:R542"/>
    <mergeCell ref="S541:S542"/>
    <mergeCell ref="T541:T542"/>
    <mergeCell ref="U541:U542"/>
    <mergeCell ref="V541:V542"/>
    <mergeCell ref="W541:W542"/>
    <mergeCell ref="W538:W539"/>
    <mergeCell ref="X538:X539"/>
    <mergeCell ref="J541:J542"/>
    <mergeCell ref="K541:K542"/>
    <mergeCell ref="L541:L542"/>
    <mergeCell ref="M541:M542"/>
    <mergeCell ref="N541:N542"/>
    <mergeCell ref="O541:O542"/>
    <mergeCell ref="P541:P542"/>
    <mergeCell ref="Q541:Q542"/>
    <mergeCell ref="Q538:Q539"/>
    <mergeCell ref="R538:R539"/>
    <mergeCell ref="S538:S539"/>
    <mergeCell ref="T538:T539"/>
    <mergeCell ref="U538:U539"/>
    <mergeCell ref="V538:V539"/>
    <mergeCell ref="S546:S547"/>
    <mergeCell ref="A538:G542"/>
    <mergeCell ref="J538:J539"/>
    <mergeCell ref="K538:K539"/>
    <mergeCell ref="L538:L539"/>
    <mergeCell ref="M538:M539"/>
    <mergeCell ref="N538:N539"/>
    <mergeCell ref="O538:O539"/>
    <mergeCell ref="P538:P539"/>
    <mergeCell ref="Q536:Q537"/>
    <mergeCell ref="R536:R537"/>
    <mergeCell ref="S536:S537"/>
    <mergeCell ref="T536:T537"/>
    <mergeCell ref="U536:U537"/>
    <mergeCell ref="V536:V537"/>
    <mergeCell ref="V533:V534"/>
    <mergeCell ref="W533:W534"/>
    <mergeCell ref="X533:X534"/>
    <mergeCell ref="J536:J537"/>
    <mergeCell ref="K536:K537"/>
    <mergeCell ref="L536:L537"/>
    <mergeCell ref="M536:M537"/>
    <mergeCell ref="N536:N537"/>
    <mergeCell ref="O536:O537"/>
    <mergeCell ref="P536:P537"/>
    <mergeCell ref="P533:P534"/>
    <mergeCell ref="Q533:Q534"/>
    <mergeCell ref="R533:R534"/>
    <mergeCell ref="S533:S534"/>
    <mergeCell ref="T533:T534"/>
    <mergeCell ref="U533:U534"/>
    <mergeCell ref="X541:X542"/>
    <mergeCell ref="J533:J534"/>
    <mergeCell ref="K533:K534"/>
    <mergeCell ref="L533:L534"/>
    <mergeCell ref="M533:M534"/>
    <mergeCell ref="N533:N534"/>
    <mergeCell ref="O533:O534"/>
    <mergeCell ref="V531:V532"/>
    <mergeCell ref="W531:W532"/>
    <mergeCell ref="X531:X532"/>
    <mergeCell ref="A533:A537"/>
    <mergeCell ref="B533:B537"/>
    <mergeCell ref="C533:C537"/>
    <mergeCell ref="D533:D537"/>
    <mergeCell ref="E533:E537"/>
    <mergeCell ref="F533:F537"/>
    <mergeCell ref="G533:G537"/>
    <mergeCell ref="P531:P532"/>
    <mergeCell ref="Q531:Q532"/>
    <mergeCell ref="R531:R532"/>
    <mergeCell ref="S531:S532"/>
    <mergeCell ref="T531:T532"/>
    <mergeCell ref="U531:U532"/>
    <mergeCell ref="A528:A532"/>
    <mergeCell ref="B528:B532"/>
    <mergeCell ref="C528:C532"/>
    <mergeCell ref="D528:D532"/>
    <mergeCell ref="E528:E532"/>
    <mergeCell ref="F528:F532"/>
    <mergeCell ref="W536:W537"/>
    <mergeCell ref="X536:X537"/>
    <mergeCell ref="U528:U529"/>
    <mergeCell ref="V528:V529"/>
    <mergeCell ref="W528:W529"/>
    <mergeCell ref="X528:X529"/>
    <mergeCell ref="J531:J532"/>
    <mergeCell ref="K531:K532"/>
    <mergeCell ref="L531:L532"/>
    <mergeCell ref="M531:M532"/>
    <mergeCell ref="N531:N532"/>
    <mergeCell ref="O531:O532"/>
    <mergeCell ref="O528:O529"/>
    <mergeCell ref="P528:P529"/>
    <mergeCell ref="Q528:Q529"/>
    <mergeCell ref="R528:R529"/>
    <mergeCell ref="S528:S529"/>
    <mergeCell ref="T528:T529"/>
    <mergeCell ref="G528:G532"/>
    <mergeCell ref="J528:J529"/>
    <mergeCell ref="K528:K529"/>
    <mergeCell ref="L528:L529"/>
    <mergeCell ref="M528:M529"/>
    <mergeCell ref="N528:N529"/>
    <mergeCell ref="T526:T527"/>
    <mergeCell ref="U526:U527"/>
    <mergeCell ref="V526:V527"/>
    <mergeCell ref="W526:W527"/>
    <mergeCell ref="X526:X527"/>
    <mergeCell ref="X523:X524"/>
    <mergeCell ref="J526:J527"/>
    <mergeCell ref="K526:K527"/>
    <mergeCell ref="L526:L527"/>
    <mergeCell ref="M526:M527"/>
    <mergeCell ref="N526:N527"/>
    <mergeCell ref="O526:O527"/>
    <mergeCell ref="P526:P527"/>
    <mergeCell ref="Q526:Q527"/>
    <mergeCell ref="R526:R527"/>
    <mergeCell ref="R523:R524"/>
    <mergeCell ref="S523:S524"/>
    <mergeCell ref="T523:T524"/>
    <mergeCell ref="U523:U524"/>
    <mergeCell ref="V523:V524"/>
    <mergeCell ref="W523:W524"/>
    <mergeCell ref="L523:L524"/>
    <mergeCell ref="M523:M524"/>
    <mergeCell ref="N523:N524"/>
    <mergeCell ref="O523:O524"/>
    <mergeCell ref="P523:P524"/>
    <mergeCell ref="Q523:Q524"/>
    <mergeCell ref="A523:A527"/>
    <mergeCell ref="B523:B527"/>
    <mergeCell ref="C523:C527"/>
    <mergeCell ref="D523:D527"/>
    <mergeCell ref="E523:E527"/>
    <mergeCell ref="F523:F527"/>
    <mergeCell ref="G523:G527"/>
    <mergeCell ref="J523:J524"/>
    <mergeCell ref="K523:K524"/>
    <mergeCell ref="R521:R522"/>
    <mergeCell ref="S521:S522"/>
    <mergeCell ref="T521:T522"/>
    <mergeCell ref="U521:U522"/>
    <mergeCell ref="V521:V522"/>
    <mergeCell ref="W521:W522"/>
    <mergeCell ref="W518:W519"/>
    <mergeCell ref="X518:X519"/>
    <mergeCell ref="J521:J522"/>
    <mergeCell ref="K521:K522"/>
    <mergeCell ref="L521:L522"/>
    <mergeCell ref="M521:M522"/>
    <mergeCell ref="N521:N522"/>
    <mergeCell ref="O521:O522"/>
    <mergeCell ref="P521:P522"/>
    <mergeCell ref="Q521:Q522"/>
    <mergeCell ref="Q518:Q519"/>
    <mergeCell ref="R518:R519"/>
    <mergeCell ref="S518:S519"/>
    <mergeCell ref="T518:T519"/>
    <mergeCell ref="U518:U519"/>
    <mergeCell ref="V518:V519"/>
    <mergeCell ref="S526:S527"/>
    <mergeCell ref="K518:K519"/>
    <mergeCell ref="L518:L519"/>
    <mergeCell ref="M518:M519"/>
    <mergeCell ref="N518:N519"/>
    <mergeCell ref="O518:O519"/>
    <mergeCell ref="P518:P519"/>
    <mergeCell ref="W516:W517"/>
    <mergeCell ref="X516:X517"/>
    <mergeCell ref="A518:A522"/>
    <mergeCell ref="B518:B522"/>
    <mergeCell ref="C518:C522"/>
    <mergeCell ref="D518:D522"/>
    <mergeCell ref="E518:E522"/>
    <mergeCell ref="F518:F522"/>
    <mergeCell ref="G518:G522"/>
    <mergeCell ref="J518:J519"/>
    <mergeCell ref="Q516:Q517"/>
    <mergeCell ref="R516:R517"/>
    <mergeCell ref="S516:S517"/>
    <mergeCell ref="T516:T517"/>
    <mergeCell ref="U516:U517"/>
    <mergeCell ref="V516:V517"/>
    <mergeCell ref="X521:X522"/>
    <mergeCell ref="J516:J517"/>
    <mergeCell ref="K516:K517"/>
    <mergeCell ref="L516:L517"/>
    <mergeCell ref="M516:M517"/>
    <mergeCell ref="N516:N517"/>
    <mergeCell ref="O516:O517"/>
    <mergeCell ref="P516:P517"/>
    <mergeCell ref="P513:P514"/>
    <mergeCell ref="Q513:Q514"/>
    <mergeCell ref="R513:R514"/>
    <mergeCell ref="S513:S514"/>
    <mergeCell ref="T513:T514"/>
    <mergeCell ref="U513:U514"/>
    <mergeCell ref="J513:J514"/>
    <mergeCell ref="K513:K514"/>
    <mergeCell ref="L513:L514"/>
    <mergeCell ref="M513:M514"/>
    <mergeCell ref="N513:N514"/>
    <mergeCell ref="O513:O514"/>
    <mergeCell ref="A513:A517"/>
    <mergeCell ref="B513:B517"/>
    <mergeCell ref="C513:C517"/>
    <mergeCell ref="D513:D517"/>
    <mergeCell ref="E513:E517"/>
    <mergeCell ref="F513:F517"/>
    <mergeCell ref="G513:G517"/>
    <mergeCell ref="P511:P512"/>
    <mergeCell ref="Q511:Q512"/>
    <mergeCell ref="R511:R512"/>
    <mergeCell ref="S511:S512"/>
    <mergeCell ref="T511:T512"/>
    <mergeCell ref="U511:U512"/>
    <mergeCell ref="U508:U509"/>
    <mergeCell ref="V508:V509"/>
    <mergeCell ref="W508:W509"/>
    <mergeCell ref="X508:X509"/>
    <mergeCell ref="J511:J512"/>
    <mergeCell ref="K511:K512"/>
    <mergeCell ref="L511:L512"/>
    <mergeCell ref="M511:M512"/>
    <mergeCell ref="N511:N512"/>
    <mergeCell ref="O511:O512"/>
    <mergeCell ref="O508:O509"/>
    <mergeCell ref="P508:P509"/>
    <mergeCell ref="Q508:Q509"/>
    <mergeCell ref="R508:R509"/>
    <mergeCell ref="S508:S509"/>
    <mergeCell ref="T508:T509"/>
    <mergeCell ref="V513:V514"/>
    <mergeCell ref="W513:W514"/>
    <mergeCell ref="X513:X514"/>
    <mergeCell ref="Q503:Q504"/>
    <mergeCell ref="J503:J504"/>
    <mergeCell ref="K503:K504"/>
    <mergeCell ref="X506:X507"/>
    <mergeCell ref="G508:G512"/>
    <mergeCell ref="J508:J509"/>
    <mergeCell ref="K508:K509"/>
    <mergeCell ref="L508:L509"/>
    <mergeCell ref="M508:M509"/>
    <mergeCell ref="N508:N509"/>
    <mergeCell ref="A508:A512"/>
    <mergeCell ref="B508:B512"/>
    <mergeCell ref="C508:C512"/>
    <mergeCell ref="D508:D512"/>
    <mergeCell ref="E508:E512"/>
    <mergeCell ref="F508:F512"/>
    <mergeCell ref="S506:S507"/>
    <mergeCell ref="T506:T507"/>
    <mergeCell ref="U506:U507"/>
    <mergeCell ref="V506:V507"/>
    <mergeCell ref="W506:W507"/>
    <mergeCell ref="V511:V512"/>
    <mergeCell ref="W511:W512"/>
    <mergeCell ref="A503:A507"/>
    <mergeCell ref="B503:B507"/>
    <mergeCell ref="C503:C507"/>
    <mergeCell ref="D503:D507"/>
    <mergeCell ref="E503:E507"/>
    <mergeCell ref="F503:F507"/>
    <mergeCell ref="G503:G507"/>
    <mergeCell ref="X511:X512"/>
    <mergeCell ref="R498:R499"/>
    <mergeCell ref="S498:S499"/>
    <mergeCell ref="T498:T499"/>
    <mergeCell ref="U498:U499"/>
    <mergeCell ref="V498:V499"/>
    <mergeCell ref="K498:K499"/>
    <mergeCell ref="L498:L499"/>
    <mergeCell ref="M498:M499"/>
    <mergeCell ref="N498:N499"/>
    <mergeCell ref="O498:O499"/>
    <mergeCell ref="P498:P499"/>
    <mergeCell ref="X503:X504"/>
    <mergeCell ref="J506:J507"/>
    <mergeCell ref="K506:K507"/>
    <mergeCell ref="L506:L507"/>
    <mergeCell ref="M506:M507"/>
    <mergeCell ref="N506:N507"/>
    <mergeCell ref="O506:O507"/>
    <mergeCell ref="P506:P507"/>
    <mergeCell ref="Q506:Q507"/>
    <mergeCell ref="R506:R507"/>
    <mergeCell ref="R503:R504"/>
    <mergeCell ref="S503:S504"/>
    <mergeCell ref="T503:T504"/>
    <mergeCell ref="U503:U504"/>
    <mergeCell ref="V503:V504"/>
    <mergeCell ref="W503:W504"/>
    <mergeCell ref="L503:L504"/>
    <mergeCell ref="M503:M504"/>
    <mergeCell ref="N503:N504"/>
    <mergeCell ref="O503:O504"/>
    <mergeCell ref="P503:P504"/>
    <mergeCell ref="A498:A502"/>
    <mergeCell ref="B498:B502"/>
    <mergeCell ref="C498:C502"/>
    <mergeCell ref="D498:D502"/>
    <mergeCell ref="E498:E502"/>
    <mergeCell ref="F498:F502"/>
    <mergeCell ref="G498:G502"/>
    <mergeCell ref="J498:J499"/>
    <mergeCell ref="Q496:Q497"/>
    <mergeCell ref="R496:R497"/>
    <mergeCell ref="S496:S497"/>
    <mergeCell ref="T496:T497"/>
    <mergeCell ref="U496:U497"/>
    <mergeCell ref="V496:V497"/>
    <mergeCell ref="X501:X502"/>
    <mergeCell ref="R501:R502"/>
    <mergeCell ref="S501:S502"/>
    <mergeCell ref="T501:T502"/>
    <mergeCell ref="U501:U502"/>
    <mergeCell ref="V501:V502"/>
    <mergeCell ref="W501:W502"/>
    <mergeCell ref="W498:W499"/>
    <mergeCell ref="X498:X499"/>
    <mergeCell ref="J501:J502"/>
    <mergeCell ref="K501:K502"/>
    <mergeCell ref="L501:L502"/>
    <mergeCell ref="M501:M502"/>
    <mergeCell ref="N501:N502"/>
    <mergeCell ref="O501:O502"/>
    <mergeCell ref="P501:P502"/>
    <mergeCell ref="Q501:Q502"/>
    <mergeCell ref="Q498:Q499"/>
    <mergeCell ref="X493:X494"/>
    <mergeCell ref="J496:J497"/>
    <mergeCell ref="K496:K497"/>
    <mergeCell ref="L496:L497"/>
    <mergeCell ref="M496:M497"/>
    <mergeCell ref="N496:N497"/>
    <mergeCell ref="O496:O497"/>
    <mergeCell ref="P496:P497"/>
    <mergeCell ref="P493:P494"/>
    <mergeCell ref="Q493:Q494"/>
    <mergeCell ref="R493:R494"/>
    <mergeCell ref="S493:S494"/>
    <mergeCell ref="T493:T494"/>
    <mergeCell ref="U493:U494"/>
    <mergeCell ref="J493:J494"/>
    <mergeCell ref="K493:K494"/>
    <mergeCell ref="L493:L494"/>
    <mergeCell ref="M493:M494"/>
    <mergeCell ref="N493:N494"/>
    <mergeCell ref="O493:O494"/>
    <mergeCell ref="W496:W497"/>
    <mergeCell ref="X496:X497"/>
    <mergeCell ref="X491:X492"/>
    <mergeCell ref="A493:A497"/>
    <mergeCell ref="B493:B497"/>
    <mergeCell ref="C493:C497"/>
    <mergeCell ref="D493:D497"/>
    <mergeCell ref="E493:E497"/>
    <mergeCell ref="F493:F497"/>
    <mergeCell ref="G493:G497"/>
    <mergeCell ref="P491:P492"/>
    <mergeCell ref="Q491:Q492"/>
    <mergeCell ref="R491:R492"/>
    <mergeCell ref="S491:S492"/>
    <mergeCell ref="T491:T492"/>
    <mergeCell ref="U491:U492"/>
    <mergeCell ref="U488:U489"/>
    <mergeCell ref="V488:V489"/>
    <mergeCell ref="W488:W489"/>
    <mergeCell ref="X488:X489"/>
    <mergeCell ref="J491:J492"/>
    <mergeCell ref="K491:K492"/>
    <mergeCell ref="L491:L492"/>
    <mergeCell ref="M491:M492"/>
    <mergeCell ref="N491:N492"/>
    <mergeCell ref="O491:O492"/>
    <mergeCell ref="O488:O489"/>
    <mergeCell ref="P488:P489"/>
    <mergeCell ref="Q488:Q489"/>
    <mergeCell ref="R488:R489"/>
    <mergeCell ref="S488:S489"/>
    <mergeCell ref="T488:T489"/>
    <mergeCell ref="V493:V494"/>
    <mergeCell ref="W493:W494"/>
    <mergeCell ref="O483:O484"/>
    <mergeCell ref="P483:P484"/>
    <mergeCell ref="Q483:Q484"/>
    <mergeCell ref="J483:J484"/>
    <mergeCell ref="K483:K484"/>
    <mergeCell ref="X486:X487"/>
    <mergeCell ref="G488:G492"/>
    <mergeCell ref="J488:J489"/>
    <mergeCell ref="K488:K489"/>
    <mergeCell ref="L488:L489"/>
    <mergeCell ref="M488:M489"/>
    <mergeCell ref="N488:N489"/>
    <mergeCell ref="A488:A492"/>
    <mergeCell ref="B488:B492"/>
    <mergeCell ref="C488:C492"/>
    <mergeCell ref="D488:D492"/>
    <mergeCell ref="E488:E492"/>
    <mergeCell ref="F488:F492"/>
    <mergeCell ref="S486:S487"/>
    <mergeCell ref="T486:T487"/>
    <mergeCell ref="U486:U487"/>
    <mergeCell ref="V486:V487"/>
    <mergeCell ref="W486:W487"/>
    <mergeCell ref="V491:V492"/>
    <mergeCell ref="W491:W492"/>
    <mergeCell ref="A483:A487"/>
    <mergeCell ref="B483:B487"/>
    <mergeCell ref="C483:C487"/>
    <mergeCell ref="D483:D487"/>
    <mergeCell ref="E483:E487"/>
    <mergeCell ref="F483:F487"/>
    <mergeCell ref="G483:G487"/>
    <mergeCell ref="Q481:Q482"/>
    <mergeCell ref="Q478:Q479"/>
    <mergeCell ref="R478:R479"/>
    <mergeCell ref="S478:S479"/>
    <mergeCell ref="T478:T479"/>
    <mergeCell ref="U478:U479"/>
    <mergeCell ref="V478:V479"/>
    <mergeCell ref="K478:K479"/>
    <mergeCell ref="L478:L479"/>
    <mergeCell ref="M478:M479"/>
    <mergeCell ref="N478:N479"/>
    <mergeCell ref="O478:O479"/>
    <mergeCell ref="P478:P479"/>
    <mergeCell ref="X483:X484"/>
    <mergeCell ref="J486:J487"/>
    <mergeCell ref="K486:K487"/>
    <mergeCell ref="L486:L487"/>
    <mergeCell ref="M486:M487"/>
    <mergeCell ref="N486:N487"/>
    <mergeCell ref="O486:O487"/>
    <mergeCell ref="P486:P487"/>
    <mergeCell ref="Q486:Q487"/>
    <mergeCell ref="R486:R487"/>
    <mergeCell ref="R483:R484"/>
    <mergeCell ref="S483:S484"/>
    <mergeCell ref="T483:T484"/>
    <mergeCell ref="U483:U484"/>
    <mergeCell ref="V483:V484"/>
    <mergeCell ref="W483:W484"/>
    <mergeCell ref="L483:L484"/>
    <mergeCell ref="M483:M484"/>
    <mergeCell ref="N483:N484"/>
    <mergeCell ref="W476:W477"/>
    <mergeCell ref="X476:X477"/>
    <mergeCell ref="A478:A482"/>
    <mergeCell ref="B478:B482"/>
    <mergeCell ref="C478:C482"/>
    <mergeCell ref="D478:D482"/>
    <mergeCell ref="E478:E482"/>
    <mergeCell ref="F478:F482"/>
    <mergeCell ref="G478:G482"/>
    <mergeCell ref="J478:J479"/>
    <mergeCell ref="Q476:Q477"/>
    <mergeCell ref="R476:R477"/>
    <mergeCell ref="S476:S477"/>
    <mergeCell ref="T476:T477"/>
    <mergeCell ref="U476:U477"/>
    <mergeCell ref="V476:V477"/>
    <mergeCell ref="X481:X482"/>
    <mergeCell ref="R481:R482"/>
    <mergeCell ref="S481:S482"/>
    <mergeCell ref="T481:T482"/>
    <mergeCell ref="U481:U482"/>
    <mergeCell ref="V481:V482"/>
    <mergeCell ref="W481:W482"/>
    <mergeCell ref="W478:W479"/>
    <mergeCell ref="X478:X479"/>
    <mergeCell ref="J481:J482"/>
    <mergeCell ref="K481:K482"/>
    <mergeCell ref="L481:L482"/>
    <mergeCell ref="M481:M482"/>
    <mergeCell ref="N481:N482"/>
    <mergeCell ref="O481:O482"/>
    <mergeCell ref="P481:P482"/>
    <mergeCell ref="J476:J477"/>
    <mergeCell ref="K476:K477"/>
    <mergeCell ref="L476:L477"/>
    <mergeCell ref="M476:M477"/>
    <mergeCell ref="N476:N477"/>
    <mergeCell ref="O476:O477"/>
    <mergeCell ref="P476:P477"/>
    <mergeCell ref="P473:P474"/>
    <mergeCell ref="Q473:Q474"/>
    <mergeCell ref="R473:R474"/>
    <mergeCell ref="S473:S474"/>
    <mergeCell ref="T473:T474"/>
    <mergeCell ref="U473:U474"/>
    <mergeCell ref="J473:J474"/>
    <mergeCell ref="K473:K474"/>
    <mergeCell ref="L473:L474"/>
    <mergeCell ref="M473:M474"/>
    <mergeCell ref="N473:N474"/>
    <mergeCell ref="O473:O474"/>
    <mergeCell ref="A473:A477"/>
    <mergeCell ref="B473:B477"/>
    <mergeCell ref="C473:C477"/>
    <mergeCell ref="D473:D477"/>
    <mergeCell ref="E473:E477"/>
    <mergeCell ref="F473:F477"/>
    <mergeCell ref="G473:G477"/>
    <mergeCell ref="P471:P472"/>
    <mergeCell ref="Q471:Q472"/>
    <mergeCell ref="R471:R472"/>
    <mergeCell ref="S471:S472"/>
    <mergeCell ref="T471:T472"/>
    <mergeCell ref="U471:U472"/>
    <mergeCell ref="U468:U469"/>
    <mergeCell ref="V468:V469"/>
    <mergeCell ref="W468:W469"/>
    <mergeCell ref="X468:X469"/>
    <mergeCell ref="J471:J472"/>
    <mergeCell ref="K471:K472"/>
    <mergeCell ref="L471:L472"/>
    <mergeCell ref="M471:M472"/>
    <mergeCell ref="N471:N472"/>
    <mergeCell ref="O471:O472"/>
    <mergeCell ref="O468:O469"/>
    <mergeCell ref="P468:P469"/>
    <mergeCell ref="Q468:Q469"/>
    <mergeCell ref="R468:R469"/>
    <mergeCell ref="S468:S469"/>
    <mergeCell ref="T468:T469"/>
    <mergeCell ref="V473:V474"/>
    <mergeCell ref="W473:W474"/>
    <mergeCell ref="X473:X474"/>
    <mergeCell ref="Q463:Q464"/>
    <mergeCell ref="J463:J464"/>
    <mergeCell ref="K463:K464"/>
    <mergeCell ref="X466:X467"/>
    <mergeCell ref="G468:G472"/>
    <mergeCell ref="J468:J469"/>
    <mergeCell ref="K468:K469"/>
    <mergeCell ref="L468:L469"/>
    <mergeCell ref="M468:M469"/>
    <mergeCell ref="N468:N469"/>
    <mergeCell ref="A468:A472"/>
    <mergeCell ref="B468:B472"/>
    <mergeCell ref="C468:C472"/>
    <mergeCell ref="D468:D472"/>
    <mergeCell ref="E468:E472"/>
    <mergeCell ref="F468:F472"/>
    <mergeCell ref="S466:S467"/>
    <mergeCell ref="T466:T467"/>
    <mergeCell ref="U466:U467"/>
    <mergeCell ref="V466:V467"/>
    <mergeCell ref="W466:W467"/>
    <mergeCell ref="V471:V472"/>
    <mergeCell ref="W471:W472"/>
    <mergeCell ref="A463:A467"/>
    <mergeCell ref="B463:B467"/>
    <mergeCell ref="C463:C467"/>
    <mergeCell ref="D463:D467"/>
    <mergeCell ref="E463:E467"/>
    <mergeCell ref="F463:F467"/>
    <mergeCell ref="G463:G467"/>
    <mergeCell ref="X471:X472"/>
    <mergeCell ref="R458:R459"/>
    <mergeCell ref="S458:S459"/>
    <mergeCell ref="T458:T459"/>
    <mergeCell ref="U458:U459"/>
    <mergeCell ref="V458:V459"/>
    <mergeCell ref="K458:K459"/>
    <mergeCell ref="L458:L459"/>
    <mergeCell ref="M458:M459"/>
    <mergeCell ref="N458:N459"/>
    <mergeCell ref="O458:O459"/>
    <mergeCell ref="P458:P459"/>
    <mergeCell ref="X463:X464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R463:R464"/>
    <mergeCell ref="S463:S464"/>
    <mergeCell ref="T463:T464"/>
    <mergeCell ref="U463:U464"/>
    <mergeCell ref="V463:V464"/>
    <mergeCell ref="W463:W464"/>
    <mergeCell ref="L463:L464"/>
    <mergeCell ref="M463:M464"/>
    <mergeCell ref="N463:N464"/>
    <mergeCell ref="O463:O464"/>
    <mergeCell ref="P463:P464"/>
    <mergeCell ref="A458:A462"/>
    <mergeCell ref="B458:B462"/>
    <mergeCell ref="C458:C462"/>
    <mergeCell ref="D458:D462"/>
    <mergeCell ref="E458:E462"/>
    <mergeCell ref="F458:F462"/>
    <mergeCell ref="G458:G462"/>
    <mergeCell ref="J458:J459"/>
    <mergeCell ref="Q456:Q457"/>
    <mergeCell ref="R456:R457"/>
    <mergeCell ref="S456:S457"/>
    <mergeCell ref="T456:T457"/>
    <mergeCell ref="U456:U457"/>
    <mergeCell ref="V456:V457"/>
    <mergeCell ref="X461:X462"/>
    <mergeCell ref="R461:R462"/>
    <mergeCell ref="S461:S462"/>
    <mergeCell ref="T461:T462"/>
    <mergeCell ref="U461:U462"/>
    <mergeCell ref="V461:V462"/>
    <mergeCell ref="W461:W462"/>
    <mergeCell ref="W458:W459"/>
    <mergeCell ref="X458:X459"/>
    <mergeCell ref="J461:J462"/>
    <mergeCell ref="K461:K462"/>
    <mergeCell ref="L461:L462"/>
    <mergeCell ref="M461:M462"/>
    <mergeCell ref="N461:N462"/>
    <mergeCell ref="O461:O462"/>
    <mergeCell ref="P461:P462"/>
    <mergeCell ref="Q461:Q462"/>
    <mergeCell ref="Q458:Q459"/>
    <mergeCell ref="X453:X454"/>
    <mergeCell ref="J456:J457"/>
    <mergeCell ref="K456:K457"/>
    <mergeCell ref="L456:L457"/>
    <mergeCell ref="M456:M457"/>
    <mergeCell ref="N456:N457"/>
    <mergeCell ref="O456:O457"/>
    <mergeCell ref="P456:P457"/>
    <mergeCell ref="P453:P454"/>
    <mergeCell ref="Q453:Q454"/>
    <mergeCell ref="R453:R454"/>
    <mergeCell ref="S453:S454"/>
    <mergeCell ref="T453:T454"/>
    <mergeCell ref="U453:U454"/>
    <mergeCell ref="J453:J454"/>
    <mergeCell ref="K453:K454"/>
    <mergeCell ref="L453:L454"/>
    <mergeCell ref="M453:M454"/>
    <mergeCell ref="N453:N454"/>
    <mergeCell ref="O453:O454"/>
    <mergeCell ref="W456:W457"/>
    <mergeCell ref="X456:X457"/>
    <mergeCell ref="X451:X452"/>
    <mergeCell ref="A453:A457"/>
    <mergeCell ref="B453:B457"/>
    <mergeCell ref="C453:C457"/>
    <mergeCell ref="D453:D457"/>
    <mergeCell ref="E453:E457"/>
    <mergeCell ref="F453:F457"/>
    <mergeCell ref="G453:G457"/>
    <mergeCell ref="P451:P452"/>
    <mergeCell ref="Q451:Q452"/>
    <mergeCell ref="R451:R452"/>
    <mergeCell ref="S451:S452"/>
    <mergeCell ref="T451:T452"/>
    <mergeCell ref="U451:U452"/>
    <mergeCell ref="U448:U449"/>
    <mergeCell ref="V448:V449"/>
    <mergeCell ref="W448:W449"/>
    <mergeCell ref="X448:X449"/>
    <mergeCell ref="J451:J452"/>
    <mergeCell ref="K451:K452"/>
    <mergeCell ref="L451:L452"/>
    <mergeCell ref="M451:M452"/>
    <mergeCell ref="N451:N452"/>
    <mergeCell ref="O451:O452"/>
    <mergeCell ref="O448:O449"/>
    <mergeCell ref="P448:P449"/>
    <mergeCell ref="Q448:Q449"/>
    <mergeCell ref="R448:R449"/>
    <mergeCell ref="S448:S449"/>
    <mergeCell ref="T448:T449"/>
    <mergeCell ref="V453:V454"/>
    <mergeCell ref="W453:W454"/>
    <mergeCell ref="O443:O444"/>
    <mergeCell ref="P443:P444"/>
    <mergeCell ref="Q443:Q444"/>
    <mergeCell ref="J443:J444"/>
    <mergeCell ref="K443:K444"/>
    <mergeCell ref="X446:X447"/>
    <mergeCell ref="G448:G452"/>
    <mergeCell ref="J448:J449"/>
    <mergeCell ref="K448:K449"/>
    <mergeCell ref="L448:L449"/>
    <mergeCell ref="M448:M449"/>
    <mergeCell ref="N448:N449"/>
    <mergeCell ref="A448:A452"/>
    <mergeCell ref="B448:B452"/>
    <mergeCell ref="C448:C452"/>
    <mergeCell ref="D448:D452"/>
    <mergeCell ref="E448:E452"/>
    <mergeCell ref="F448:F452"/>
    <mergeCell ref="S446:S447"/>
    <mergeCell ref="T446:T447"/>
    <mergeCell ref="U446:U447"/>
    <mergeCell ref="V446:V447"/>
    <mergeCell ref="W446:W447"/>
    <mergeCell ref="V451:V452"/>
    <mergeCell ref="W451:W452"/>
    <mergeCell ref="A443:A447"/>
    <mergeCell ref="B443:B447"/>
    <mergeCell ref="C443:C447"/>
    <mergeCell ref="D443:D447"/>
    <mergeCell ref="E443:E447"/>
    <mergeCell ref="F443:F447"/>
    <mergeCell ref="G443:G447"/>
    <mergeCell ref="Q441:Q442"/>
    <mergeCell ref="Q438:Q439"/>
    <mergeCell ref="R438:R439"/>
    <mergeCell ref="S438:S439"/>
    <mergeCell ref="T438:T439"/>
    <mergeCell ref="U438:U439"/>
    <mergeCell ref="V438:V439"/>
    <mergeCell ref="K438:K439"/>
    <mergeCell ref="L438:L439"/>
    <mergeCell ref="M438:M439"/>
    <mergeCell ref="N438:N439"/>
    <mergeCell ref="O438:O439"/>
    <mergeCell ref="P438:P439"/>
    <mergeCell ref="X443:X444"/>
    <mergeCell ref="J446:J447"/>
    <mergeCell ref="K446:K447"/>
    <mergeCell ref="L446:L447"/>
    <mergeCell ref="M446:M447"/>
    <mergeCell ref="N446:N447"/>
    <mergeCell ref="O446:O447"/>
    <mergeCell ref="P446:P447"/>
    <mergeCell ref="Q446:Q447"/>
    <mergeCell ref="R446:R447"/>
    <mergeCell ref="R443:R444"/>
    <mergeCell ref="S443:S444"/>
    <mergeCell ref="T443:T444"/>
    <mergeCell ref="U443:U444"/>
    <mergeCell ref="V443:V444"/>
    <mergeCell ref="W443:W444"/>
    <mergeCell ref="L443:L444"/>
    <mergeCell ref="M443:M444"/>
    <mergeCell ref="N443:N444"/>
    <mergeCell ref="W436:W437"/>
    <mergeCell ref="X436:X437"/>
    <mergeCell ref="A438:A442"/>
    <mergeCell ref="B438:B442"/>
    <mergeCell ref="C438:C442"/>
    <mergeCell ref="D438:D442"/>
    <mergeCell ref="E438:E442"/>
    <mergeCell ref="F438:F442"/>
    <mergeCell ref="G438:G442"/>
    <mergeCell ref="J438:J439"/>
    <mergeCell ref="Q436:Q437"/>
    <mergeCell ref="R436:R437"/>
    <mergeCell ref="S436:S437"/>
    <mergeCell ref="T436:T437"/>
    <mergeCell ref="U436:U437"/>
    <mergeCell ref="V436:V437"/>
    <mergeCell ref="X441:X442"/>
    <mergeCell ref="R441:R442"/>
    <mergeCell ref="S441:S442"/>
    <mergeCell ref="T441:T442"/>
    <mergeCell ref="U441:U442"/>
    <mergeCell ref="V441:V442"/>
    <mergeCell ref="W441:W442"/>
    <mergeCell ref="W438:W439"/>
    <mergeCell ref="X438:X439"/>
    <mergeCell ref="J441:J442"/>
    <mergeCell ref="K441:K442"/>
    <mergeCell ref="L441:L442"/>
    <mergeCell ref="M441:M442"/>
    <mergeCell ref="N441:N442"/>
    <mergeCell ref="O441:O442"/>
    <mergeCell ref="P441:P442"/>
    <mergeCell ref="J436:J437"/>
    <mergeCell ref="K436:K437"/>
    <mergeCell ref="L436:L437"/>
    <mergeCell ref="M436:M437"/>
    <mergeCell ref="N436:N437"/>
    <mergeCell ref="O436:O437"/>
    <mergeCell ref="P436:P437"/>
    <mergeCell ref="P433:P434"/>
    <mergeCell ref="Q433:Q434"/>
    <mergeCell ref="R433:R434"/>
    <mergeCell ref="S433:S434"/>
    <mergeCell ref="T433:T434"/>
    <mergeCell ref="U433:U434"/>
    <mergeCell ref="J433:J434"/>
    <mergeCell ref="K433:K434"/>
    <mergeCell ref="L433:L434"/>
    <mergeCell ref="M433:M434"/>
    <mergeCell ref="N433:N434"/>
    <mergeCell ref="O433:O434"/>
    <mergeCell ref="A433:A437"/>
    <mergeCell ref="B433:B437"/>
    <mergeCell ref="C433:C437"/>
    <mergeCell ref="D433:D437"/>
    <mergeCell ref="E433:E437"/>
    <mergeCell ref="F433:F437"/>
    <mergeCell ref="G433:G437"/>
    <mergeCell ref="P431:P432"/>
    <mergeCell ref="Q431:Q432"/>
    <mergeCell ref="R431:R432"/>
    <mergeCell ref="S431:S432"/>
    <mergeCell ref="T431:T432"/>
    <mergeCell ref="U431:U432"/>
    <mergeCell ref="U428:U429"/>
    <mergeCell ref="V428:V429"/>
    <mergeCell ref="W428:W429"/>
    <mergeCell ref="X428:X429"/>
    <mergeCell ref="J431:J432"/>
    <mergeCell ref="K431:K432"/>
    <mergeCell ref="L431:L432"/>
    <mergeCell ref="M431:M432"/>
    <mergeCell ref="N431:N432"/>
    <mergeCell ref="O431:O432"/>
    <mergeCell ref="O428:O429"/>
    <mergeCell ref="P428:P429"/>
    <mergeCell ref="Q428:Q429"/>
    <mergeCell ref="R428:R429"/>
    <mergeCell ref="S428:S429"/>
    <mergeCell ref="T428:T429"/>
    <mergeCell ref="V433:V434"/>
    <mergeCell ref="W433:W434"/>
    <mergeCell ref="X433:X434"/>
    <mergeCell ref="Q423:Q424"/>
    <mergeCell ref="J423:J424"/>
    <mergeCell ref="K423:K424"/>
    <mergeCell ref="X426:X427"/>
    <mergeCell ref="G428:G432"/>
    <mergeCell ref="J428:J429"/>
    <mergeCell ref="K428:K429"/>
    <mergeCell ref="L428:L429"/>
    <mergeCell ref="M428:M429"/>
    <mergeCell ref="N428:N429"/>
    <mergeCell ref="A428:A432"/>
    <mergeCell ref="B428:B432"/>
    <mergeCell ref="C428:C432"/>
    <mergeCell ref="D428:D432"/>
    <mergeCell ref="E428:E432"/>
    <mergeCell ref="F428:F432"/>
    <mergeCell ref="S426:S427"/>
    <mergeCell ref="T426:T427"/>
    <mergeCell ref="U426:U427"/>
    <mergeCell ref="V426:V427"/>
    <mergeCell ref="W426:W427"/>
    <mergeCell ref="V431:V432"/>
    <mergeCell ref="W431:W432"/>
    <mergeCell ref="A423:A427"/>
    <mergeCell ref="B423:B427"/>
    <mergeCell ref="C423:C427"/>
    <mergeCell ref="D423:D427"/>
    <mergeCell ref="E423:E427"/>
    <mergeCell ref="F423:F427"/>
    <mergeCell ref="G423:G427"/>
    <mergeCell ref="X431:X432"/>
    <mergeCell ref="R418:R419"/>
    <mergeCell ref="S418:S419"/>
    <mergeCell ref="T418:T419"/>
    <mergeCell ref="U418:U419"/>
    <mergeCell ref="V418:V419"/>
    <mergeCell ref="K418:K419"/>
    <mergeCell ref="L418:L419"/>
    <mergeCell ref="M418:M419"/>
    <mergeCell ref="N418:N419"/>
    <mergeCell ref="O418:O419"/>
    <mergeCell ref="P418:P419"/>
    <mergeCell ref="X423:X424"/>
    <mergeCell ref="J426:J427"/>
    <mergeCell ref="K426:K427"/>
    <mergeCell ref="L426:L427"/>
    <mergeCell ref="M426:M427"/>
    <mergeCell ref="N426:N427"/>
    <mergeCell ref="O426:O427"/>
    <mergeCell ref="P426:P427"/>
    <mergeCell ref="Q426:Q427"/>
    <mergeCell ref="R426:R427"/>
    <mergeCell ref="R423:R424"/>
    <mergeCell ref="S423:S424"/>
    <mergeCell ref="T423:T424"/>
    <mergeCell ref="U423:U424"/>
    <mergeCell ref="V423:V424"/>
    <mergeCell ref="W423:W424"/>
    <mergeCell ref="L423:L424"/>
    <mergeCell ref="M423:M424"/>
    <mergeCell ref="N423:N424"/>
    <mergeCell ref="O423:O424"/>
    <mergeCell ref="P423:P424"/>
    <mergeCell ref="A418:A422"/>
    <mergeCell ref="B418:B422"/>
    <mergeCell ref="C418:C422"/>
    <mergeCell ref="D418:D422"/>
    <mergeCell ref="E418:E422"/>
    <mergeCell ref="F418:F422"/>
    <mergeCell ref="G418:G422"/>
    <mergeCell ref="J418:J419"/>
    <mergeCell ref="Q416:Q417"/>
    <mergeCell ref="R416:R417"/>
    <mergeCell ref="S416:S417"/>
    <mergeCell ref="T416:T417"/>
    <mergeCell ref="U416:U417"/>
    <mergeCell ref="V416:V417"/>
    <mergeCell ref="X421:X422"/>
    <mergeCell ref="R421:R422"/>
    <mergeCell ref="S421:S422"/>
    <mergeCell ref="T421:T422"/>
    <mergeCell ref="U421:U422"/>
    <mergeCell ref="V421:V422"/>
    <mergeCell ref="W421:W422"/>
    <mergeCell ref="W418:W419"/>
    <mergeCell ref="X418:X419"/>
    <mergeCell ref="J421:J422"/>
    <mergeCell ref="K421:K422"/>
    <mergeCell ref="L421:L422"/>
    <mergeCell ref="M421:M422"/>
    <mergeCell ref="N421:N422"/>
    <mergeCell ref="O421:O422"/>
    <mergeCell ref="P421:P422"/>
    <mergeCell ref="Q421:Q422"/>
    <mergeCell ref="Q418:Q419"/>
    <mergeCell ref="X413:X414"/>
    <mergeCell ref="J416:J417"/>
    <mergeCell ref="K416:K417"/>
    <mergeCell ref="L416:L417"/>
    <mergeCell ref="M416:M417"/>
    <mergeCell ref="N416:N417"/>
    <mergeCell ref="O416:O417"/>
    <mergeCell ref="P416:P417"/>
    <mergeCell ref="P413:P414"/>
    <mergeCell ref="Q413:Q414"/>
    <mergeCell ref="R413:R414"/>
    <mergeCell ref="S413:S414"/>
    <mergeCell ref="T413:T414"/>
    <mergeCell ref="U413:U414"/>
    <mergeCell ref="J413:J414"/>
    <mergeCell ref="K413:K414"/>
    <mergeCell ref="L413:L414"/>
    <mergeCell ref="M413:M414"/>
    <mergeCell ref="N413:N414"/>
    <mergeCell ref="O413:O414"/>
    <mergeCell ref="W416:W417"/>
    <mergeCell ref="X416:X417"/>
    <mergeCell ref="X411:X412"/>
    <mergeCell ref="A413:A417"/>
    <mergeCell ref="B413:B417"/>
    <mergeCell ref="C413:C417"/>
    <mergeCell ref="D413:D417"/>
    <mergeCell ref="E413:E417"/>
    <mergeCell ref="F413:F417"/>
    <mergeCell ref="G413:G417"/>
    <mergeCell ref="P411:P412"/>
    <mergeCell ref="Q411:Q412"/>
    <mergeCell ref="R411:R412"/>
    <mergeCell ref="S411:S412"/>
    <mergeCell ref="T411:T412"/>
    <mergeCell ref="U411:U412"/>
    <mergeCell ref="U408:U409"/>
    <mergeCell ref="V408:V409"/>
    <mergeCell ref="W408:W409"/>
    <mergeCell ref="X408:X409"/>
    <mergeCell ref="J411:J412"/>
    <mergeCell ref="K411:K412"/>
    <mergeCell ref="L411:L412"/>
    <mergeCell ref="M411:M412"/>
    <mergeCell ref="N411:N412"/>
    <mergeCell ref="O411:O412"/>
    <mergeCell ref="O408:O409"/>
    <mergeCell ref="P408:P409"/>
    <mergeCell ref="Q408:Q409"/>
    <mergeCell ref="R408:R409"/>
    <mergeCell ref="S408:S409"/>
    <mergeCell ref="T408:T409"/>
    <mergeCell ref="V413:V414"/>
    <mergeCell ref="W413:W414"/>
    <mergeCell ref="G408:G412"/>
    <mergeCell ref="J408:J409"/>
    <mergeCell ref="K408:K409"/>
    <mergeCell ref="L408:L409"/>
    <mergeCell ref="M408:M409"/>
    <mergeCell ref="N408:N409"/>
    <mergeCell ref="A408:A412"/>
    <mergeCell ref="B408:B412"/>
    <mergeCell ref="C408:C412"/>
    <mergeCell ref="D408:D412"/>
    <mergeCell ref="E408:E412"/>
    <mergeCell ref="F408:F412"/>
    <mergeCell ref="S406:S407"/>
    <mergeCell ref="T406:T407"/>
    <mergeCell ref="U406:U407"/>
    <mergeCell ref="V406:V407"/>
    <mergeCell ref="W406:W407"/>
    <mergeCell ref="V411:V412"/>
    <mergeCell ref="W411:W412"/>
    <mergeCell ref="A403:A407"/>
    <mergeCell ref="B403:B407"/>
    <mergeCell ref="C403:C407"/>
    <mergeCell ref="D403:D407"/>
    <mergeCell ref="E403:E407"/>
    <mergeCell ref="F403:F407"/>
    <mergeCell ref="G403:G407"/>
    <mergeCell ref="X403:X404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R403:R404"/>
    <mergeCell ref="S403:S404"/>
    <mergeCell ref="T403:T404"/>
    <mergeCell ref="U403:U404"/>
    <mergeCell ref="V403:V404"/>
    <mergeCell ref="W403:W404"/>
    <mergeCell ref="L403:L404"/>
    <mergeCell ref="M403:M404"/>
    <mergeCell ref="N403:N404"/>
    <mergeCell ref="O403:O404"/>
    <mergeCell ref="P403:P404"/>
    <mergeCell ref="Q403:Q404"/>
    <mergeCell ref="J403:J404"/>
    <mergeCell ref="K403:K404"/>
    <mergeCell ref="X406:X407"/>
    <mergeCell ref="J401:J402"/>
    <mergeCell ref="K401:K402"/>
    <mergeCell ref="L401:L402"/>
    <mergeCell ref="M401:M402"/>
    <mergeCell ref="N401:N402"/>
    <mergeCell ref="O401:O402"/>
    <mergeCell ref="P401:P402"/>
    <mergeCell ref="Q401:Q402"/>
    <mergeCell ref="Q398:Q399"/>
    <mergeCell ref="R398:R399"/>
    <mergeCell ref="S398:S399"/>
    <mergeCell ref="T398:T399"/>
    <mergeCell ref="U398:U399"/>
    <mergeCell ref="V398:V399"/>
    <mergeCell ref="K398:K399"/>
    <mergeCell ref="L398:L399"/>
    <mergeCell ref="M398:M399"/>
    <mergeCell ref="N398:N399"/>
    <mergeCell ref="O398:O399"/>
    <mergeCell ref="P398:P399"/>
    <mergeCell ref="W396:W397"/>
    <mergeCell ref="X396:X397"/>
    <mergeCell ref="A398:A402"/>
    <mergeCell ref="B398:B402"/>
    <mergeCell ref="C398:C402"/>
    <mergeCell ref="D398:D402"/>
    <mergeCell ref="E398:E402"/>
    <mergeCell ref="F398:F402"/>
    <mergeCell ref="G398:G402"/>
    <mergeCell ref="J398:J399"/>
    <mergeCell ref="Q396:Q397"/>
    <mergeCell ref="R396:R397"/>
    <mergeCell ref="S396:S397"/>
    <mergeCell ref="T396:T397"/>
    <mergeCell ref="U396:U397"/>
    <mergeCell ref="V396:V397"/>
    <mergeCell ref="X401:X402"/>
    <mergeCell ref="J396:J397"/>
    <mergeCell ref="K396:K397"/>
    <mergeCell ref="L396:L397"/>
    <mergeCell ref="M396:M397"/>
    <mergeCell ref="N396:N397"/>
    <mergeCell ref="O396:O397"/>
    <mergeCell ref="P396:P397"/>
    <mergeCell ref="R401:R402"/>
    <mergeCell ref="S401:S402"/>
    <mergeCell ref="T401:T402"/>
    <mergeCell ref="U401:U402"/>
    <mergeCell ref="V401:V402"/>
    <mergeCell ref="W401:W402"/>
    <mergeCell ref="W398:W399"/>
    <mergeCell ref="X398:X399"/>
    <mergeCell ref="P393:P394"/>
    <mergeCell ref="Q393:Q394"/>
    <mergeCell ref="R393:R394"/>
    <mergeCell ref="S393:S394"/>
    <mergeCell ref="T393:T394"/>
    <mergeCell ref="U393:U394"/>
    <mergeCell ref="J393:J394"/>
    <mergeCell ref="K393:K394"/>
    <mergeCell ref="L393:L394"/>
    <mergeCell ref="M393:M394"/>
    <mergeCell ref="N393:N394"/>
    <mergeCell ref="O393:O394"/>
    <mergeCell ref="A393:A397"/>
    <mergeCell ref="B393:B397"/>
    <mergeCell ref="C393:C397"/>
    <mergeCell ref="D393:D397"/>
    <mergeCell ref="E393:E397"/>
    <mergeCell ref="F393:F397"/>
    <mergeCell ref="G393:G397"/>
    <mergeCell ref="R391:R392"/>
    <mergeCell ref="S391:S392"/>
    <mergeCell ref="T391:T392"/>
    <mergeCell ref="U391:U392"/>
    <mergeCell ref="U388:U389"/>
    <mergeCell ref="V388:V389"/>
    <mergeCell ref="W388:W389"/>
    <mergeCell ref="X388:X389"/>
    <mergeCell ref="J391:J392"/>
    <mergeCell ref="K391:K392"/>
    <mergeCell ref="L391:L392"/>
    <mergeCell ref="M391:M392"/>
    <mergeCell ref="N391:N392"/>
    <mergeCell ref="O391:O392"/>
    <mergeCell ref="O388:O389"/>
    <mergeCell ref="P388:P389"/>
    <mergeCell ref="Q388:Q389"/>
    <mergeCell ref="R388:R389"/>
    <mergeCell ref="S388:S389"/>
    <mergeCell ref="T388:T389"/>
    <mergeCell ref="V393:V394"/>
    <mergeCell ref="W393:W394"/>
    <mergeCell ref="X393:X394"/>
    <mergeCell ref="G388:G392"/>
    <mergeCell ref="J388:J389"/>
    <mergeCell ref="K388:K389"/>
    <mergeCell ref="L388:L389"/>
    <mergeCell ref="M388:M389"/>
    <mergeCell ref="N388:N389"/>
    <mergeCell ref="A388:A392"/>
    <mergeCell ref="B388:B392"/>
    <mergeCell ref="C388:C392"/>
    <mergeCell ref="D388:D392"/>
    <mergeCell ref="E388:E392"/>
    <mergeCell ref="F388:F392"/>
    <mergeCell ref="V383:V384"/>
    <mergeCell ref="W383:W384"/>
    <mergeCell ref="X383:X384"/>
    <mergeCell ref="A385:X385"/>
    <mergeCell ref="A386:X386"/>
    <mergeCell ref="A387:X387"/>
    <mergeCell ref="P383:P384"/>
    <mergeCell ref="Q383:Q384"/>
    <mergeCell ref="R383:R384"/>
    <mergeCell ref="S383:S384"/>
    <mergeCell ref="T383:T384"/>
    <mergeCell ref="U383:U384"/>
    <mergeCell ref="V391:V392"/>
    <mergeCell ref="W391:W392"/>
    <mergeCell ref="X391:X392"/>
    <mergeCell ref="P391:P392"/>
    <mergeCell ref="Q391:Q392"/>
    <mergeCell ref="U380:U381"/>
    <mergeCell ref="V380:V381"/>
    <mergeCell ref="W380:W381"/>
    <mergeCell ref="X380:X381"/>
    <mergeCell ref="J383:J384"/>
    <mergeCell ref="K383:K384"/>
    <mergeCell ref="L383:L384"/>
    <mergeCell ref="M383:M384"/>
    <mergeCell ref="N383:N384"/>
    <mergeCell ref="O383:O384"/>
    <mergeCell ref="O380:O381"/>
    <mergeCell ref="P380:P381"/>
    <mergeCell ref="Q380:Q381"/>
    <mergeCell ref="R380:R381"/>
    <mergeCell ref="S380:S381"/>
    <mergeCell ref="T380:T381"/>
    <mergeCell ref="A380:G384"/>
    <mergeCell ref="J380:J381"/>
    <mergeCell ref="K380:K381"/>
    <mergeCell ref="L380:L381"/>
    <mergeCell ref="M380:M381"/>
    <mergeCell ref="N380:N381"/>
    <mergeCell ref="T378:T379"/>
    <mergeCell ref="U378:U379"/>
    <mergeCell ref="V378:V379"/>
    <mergeCell ref="W378:W379"/>
    <mergeCell ref="X378:X379"/>
    <mergeCell ref="X375:X376"/>
    <mergeCell ref="J378:J379"/>
    <mergeCell ref="K378:K379"/>
    <mergeCell ref="L378:L379"/>
    <mergeCell ref="M378:M379"/>
    <mergeCell ref="N378:N379"/>
    <mergeCell ref="O378:O379"/>
    <mergeCell ref="P378:P379"/>
    <mergeCell ref="Q378:Q379"/>
    <mergeCell ref="R378:R379"/>
    <mergeCell ref="R375:R376"/>
    <mergeCell ref="S375:S376"/>
    <mergeCell ref="T375:T376"/>
    <mergeCell ref="U375:U376"/>
    <mergeCell ref="V375:V376"/>
    <mergeCell ref="W375:W376"/>
    <mergeCell ref="L375:L376"/>
    <mergeCell ref="M375:M376"/>
    <mergeCell ref="N375:N376"/>
    <mergeCell ref="O375:O376"/>
    <mergeCell ref="P375:P376"/>
    <mergeCell ref="Q375:Q376"/>
    <mergeCell ref="A375:A379"/>
    <mergeCell ref="B375:B379"/>
    <mergeCell ref="C375:C379"/>
    <mergeCell ref="D375:D379"/>
    <mergeCell ref="E375:E379"/>
    <mergeCell ref="F375:F379"/>
    <mergeCell ref="G375:G379"/>
    <mergeCell ref="J375:J376"/>
    <mergeCell ref="K375:K376"/>
    <mergeCell ref="R373:R374"/>
    <mergeCell ref="S373:S374"/>
    <mergeCell ref="T373:T374"/>
    <mergeCell ref="U373:U374"/>
    <mergeCell ref="V373:V374"/>
    <mergeCell ref="W373:W374"/>
    <mergeCell ref="W370:W371"/>
    <mergeCell ref="X370:X371"/>
    <mergeCell ref="J373:J374"/>
    <mergeCell ref="K373:K374"/>
    <mergeCell ref="L373:L374"/>
    <mergeCell ref="M373:M374"/>
    <mergeCell ref="N373:N374"/>
    <mergeCell ref="O373:O374"/>
    <mergeCell ref="P373:P374"/>
    <mergeCell ref="Q373:Q374"/>
    <mergeCell ref="Q370:Q371"/>
    <mergeCell ref="R370:R371"/>
    <mergeCell ref="S370:S371"/>
    <mergeCell ref="T370:T371"/>
    <mergeCell ref="U370:U371"/>
    <mergeCell ref="V370:V371"/>
    <mergeCell ref="S378:S379"/>
    <mergeCell ref="K370:K371"/>
    <mergeCell ref="L370:L371"/>
    <mergeCell ref="M370:M371"/>
    <mergeCell ref="N370:N371"/>
    <mergeCell ref="O370:O371"/>
    <mergeCell ref="P370:P371"/>
    <mergeCell ref="W368:W369"/>
    <mergeCell ref="X368:X369"/>
    <mergeCell ref="A370:A374"/>
    <mergeCell ref="B370:B374"/>
    <mergeCell ref="C370:C374"/>
    <mergeCell ref="D370:D374"/>
    <mergeCell ref="E370:E374"/>
    <mergeCell ref="F370:F374"/>
    <mergeCell ref="G370:G374"/>
    <mergeCell ref="J370:J371"/>
    <mergeCell ref="Q368:Q369"/>
    <mergeCell ref="R368:R369"/>
    <mergeCell ref="S368:S369"/>
    <mergeCell ref="T368:T369"/>
    <mergeCell ref="U368:U369"/>
    <mergeCell ref="V368:V369"/>
    <mergeCell ref="X373:X374"/>
    <mergeCell ref="J368:J369"/>
    <mergeCell ref="K368:K369"/>
    <mergeCell ref="L368:L369"/>
    <mergeCell ref="M368:M369"/>
    <mergeCell ref="N368:N369"/>
    <mergeCell ref="O368:O369"/>
    <mergeCell ref="P368:P369"/>
    <mergeCell ref="P365:P366"/>
    <mergeCell ref="Q365:Q366"/>
    <mergeCell ref="R365:R366"/>
    <mergeCell ref="S365:S366"/>
    <mergeCell ref="T365:T366"/>
    <mergeCell ref="U365:U366"/>
    <mergeCell ref="J365:J366"/>
    <mergeCell ref="K365:K366"/>
    <mergeCell ref="L365:L366"/>
    <mergeCell ref="M365:M366"/>
    <mergeCell ref="N365:N366"/>
    <mergeCell ref="O365:O366"/>
    <mergeCell ref="A365:A369"/>
    <mergeCell ref="B365:B369"/>
    <mergeCell ref="C365:C369"/>
    <mergeCell ref="D365:D369"/>
    <mergeCell ref="E365:E369"/>
    <mergeCell ref="F365:F369"/>
    <mergeCell ref="G365:G369"/>
    <mergeCell ref="P363:P364"/>
    <mergeCell ref="Q363:Q364"/>
    <mergeCell ref="R363:R364"/>
    <mergeCell ref="S363:S364"/>
    <mergeCell ref="T363:T364"/>
    <mergeCell ref="U363:U364"/>
    <mergeCell ref="U360:U361"/>
    <mergeCell ref="V360:V361"/>
    <mergeCell ref="W360:W361"/>
    <mergeCell ref="X360:X361"/>
    <mergeCell ref="J363:J364"/>
    <mergeCell ref="K363:K364"/>
    <mergeCell ref="L363:L364"/>
    <mergeCell ref="M363:M364"/>
    <mergeCell ref="N363:N364"/>
    <mergeCell ref="O363:O364"/>
    <mergeCell ref="O360:O361"/>
    <mergeCell ref="P360:P361"/>
    <mergeCell ref="Q360:Q361"/>
    <mergeCell ref="R360:R361"/>
    <mergeCell ref="S360:S361"/>
    <mergeCell ref="T360:T361"/>
    <mergeCell ref="V365:V366"/>
    <mergeCell ref="W365:W366"/>
    <mergeCell ref="X365:X366"/>
    <mergeCell ref="Q355:Q356"/>
    <mergeCell ref="J355:J356"/>
    <mergeCell ref="K355:K356"/>
    <mergeCell ref="X358:X359"/>
    <mergeCell ref="G360:G364"/>
    <mergeCell ref="J360:J361"/>
    <mergeCell ref="K360:K361"/>
    <mergeCell ref="L360:L361"/>
    <mergeCell ref="M360:M361"/>
    <mergeCell ref="N360:N361"/>
    <mergeCell ref="A360:A364"/>
    <mergeCell ref="B360:B364"/>
    <mergeCell ref="C360:C364"/>
    <mergeCell ref="D360:D364"/>
    <mergeCell ref="E360:E364"/>
    <mergeCell ref="F360:F364"/>
    <mergeCell ref="S358:S359"/>
    <mergeCell ref="T358:T359"/>
    <mergeCell ref="U358:U359"/>
    <mergeCell ref="V358:V359"/>
    <mergeCell ref="W358:W359"/>
    <mergeCell ref="V363:V364"/>
    <mergeCell ref="W363:W364"/>
    <mergeCell ref="A355:A359"/>
    <mergeCell ref="B355:B359"/>
    <mergeCell ref="C355:C359"/>
    <mergeCell ref="D355:D359"/>
    <mergeCell ref="E355:E359"/>
    <mergeCell ref="F355:F359"/>
    <mergeCell ref="G355:G359"/>
    <mergeCell ref="X363:X364"/>
    <mergeCell ref="R350:R351"/>
    <mergeCell ref="S350:S351"/>
    <mergeCell ref="T350:T351"/>
    <mergeCell ref="U350:U351"/>
    <mergeCell ref="V350:V351"/>
    <mergeCell ref="K350:K351"/>
    <mergeCell ref="L350:L351"/>
    <mergeCell ref="M350:M351"/>
    <mergeCell ref="N350:N351"/>
    <mergeCell ref="O350:O351"/>
    <mergeCell ref="P350:P351"/>
    <mergeCell ref="X355:X356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R355:R356"/>
    <mergeCell ref="S355:S356"/>
    <mergeCell ref="T355:T356"/>
    <mergeCell ref="U355:U356"/>
    <mergeCell ref="V355:V356"/>
    <mergeCell ref="W355:W356"/>
    <mergeCell ref="L355:L356"/>
    <mergeCell ref="M355:M356"/>
    <mergeCell ref="N355:N356"/>
    <mergeCell ref="O355:O356"/>
    <mergeCell ref="P355:P356"/>
    <mergeCell ref="A350:A354"/>
    <mergeCell ref="B350:B354"/>
    <mergeCell ref="C350:C354"/>
    <mergeCell ref="D350:D354"/>
    <mergeCell ref="E350:E354"/>
    <mergeCell ref="F350:F354"/>
    <mergeCell ref="G350:G354"/>
    <mergeCell ref="J350:J351"/>
    <mergeCell ref="Q348:Q349"/>
    <mergeCell ref="R348:R349"/>
    <mergeCell ref="S348:S349"/>
    <mergeCell ref="T348:T349"/>
    <mergeCell ref="U348:U349"/>
    <mergeCell ref="V348:V349"/>
    <mergeCell ref="X353:X354"/>
    <mergeCell ref="R353:R354"/>
    <mergeCell ref="S353:S354"/>
    <mergeCell ref="T353:T354"/>
    <mergeCell ref="U353:U354"/>
    <mergeCell ref="V353:V354"/>
    <mergeCell ref="W353:W354"/>
    <mergeCell ref="W350:W351"/>
    <mergeCell ref="X350:X351"/>
    <mergeCell ref="J353:J354"/>
    <mergeCell ref="K353:K354"/>
    <mergeCell ref="L353:L354"/>
    <mergeCell ref="M353:M354"/>
    <mergeCell ref="N353:N354"/>
    <mergeCell ref="O353:O354"/>
    <mergeCell ref="P353:P354"/>
    <mergeCell ref="Q353:Q354"/>
    <mergeCell ref="Q350:Q351"/>
    <mergeCell ref="W345:W346"/>
    <mergeCell ref="X345:X346"/>
    <mergeCell ref="J348:J349"/>
    <mergeCell ref="K348:K349"/>
    <mergeCell ref="L348:L349"/>
    <mergeCell ref="M348:M349"/>
    <mergeCell ref="N348:N349"/>
    <mergeCell ref="O348:O349"/>
    <mergeCell ref="P348:P349"/>
    <mergeCell ref="P345:P346"/>
    <mergeCell ref="Q345:Q346"/>
    <mergeCell ref="R345:R346"/>
    <mergeCell ref="S345:S346"/>
    <mergeCell ref="T345:T346"/>
    <mergeCell ref="U345:U346"/>
    <mergeCell ref="J345:J346"/>
    <mergeCell ref="K345:K346"/>
    <mergeCell ref="L345:L346"/>
    <mergeCell ref="M345:M346"/>
    <mergeCell ref="N345:N346"/>
    <mergeCell ref="O345:O346"/>
    <mergeCell ref="W348:W349"/>
    <mergeCell ref="X348:X349"/>
    <mergeCell ref="A343:X343"/>
    <mergeCell ref="A344:X344"/>
    <mergeCell ref="A345:A349"/>
    <mergeCell ref="B345:B349"/>
    <mergeCell ref="C345:C349"/>
    <mergeCell ref="D345:D349"/>
    <mergeCell ref="E345:E349"/>
    <mergeCell ref="F345:F349"/>
    <mergeCell ref="G345:G349"/>
    <mergeCell ref="R340:R341"/>
    <mergeCell ref="S340:S341"/>
    <mergeCell ref="T340:T341"/>
    <mergeCell ref="U340:U341"/>
    <mergeCell ref="V340:V341"/>
    <mergeCell ref="W340:W341"/>
    <mergeCell ref="W337:W338"/>
    <mergeCell ref="X337:X338"/>
    <mergeCell ref="J340:J341"/>
    <mergeCell ref="K340:K341"/>
    <mergeCell ref="L340:L341"/>
    <mergeCell ref="M340:M341"/>
    <mergeCell ref="N340:N341"/>
    <mergeCell ref="O340:O341"/>
    <mergeCell ref="P340:P341"/>
    <mergeCell ref="Q340:Q341"/>
    <mergeCell ref="Q337:Q338"/>
    <mergeCell ref="R337:R338"/>
    <mergeCell ref="S337:S338"/>
    <mergeCell ref="T337:T338"/>
    <mergeCell ref="U337:U338"/>
    <mergeCell ref="V337:V338"/>
    <mergeCell ref="V345:V346"/>
    <mergeCell ref="A337:G341"/>
    <mergeCell ref="J337:J338"/>
    <mergeCell ref="K337:K338"/>
    <mergeCell ref="L337:L338"/>
    <mergeCell ref="M337:M338"/>
    <mergeCell ref="N337:N338"/>
    <mergeCell ref="O337:O338"/>
    <mergeCell ref="P337:P338"/>
    <mergeCell ref="Q335:Q336"/>
    <mergeCell ref="R335:R336"/>
    <mergeCell ref="S335:S336"/>
    <mergeCell ref="T335:T336"/>
    <mergeCell ref="U335:U336"/>
    <mergeCell ref="V335:V336"/>
    <mergeCell ref="V332:V333"/>
    <mergeCell ref="W332:W333"/>
    <mergeCell ref="X332:X333"/>
    <mergeCell ref="J335:J336"/>
    <mergeCell ref="K335:K336"/>
    <mergeCell ref="L335:L336"/>
    <mergeCell ref="M335:M336"/>
    <mergeCell ref="N335:N336"/>
    <mergeCell ref="O335:O336"/>
    <mergeCell ref="P335:P336"/>
    <mergeCell ref="P332:P333"/>
    <mergeCell ref="Q332:Q333"/>
    <mergeCell ref="R332:R333"/>
    <mergeCell ref="S332:S333"/>
    <mergeCell ref="T332:T333"/>
    <mergeCell ref="U332:U333"/>
    <mergeCell ref="X340:X341"/>
    <mergeCell ref="J332:J333"/>
    <mergeCell ref="K332:K333"/>
    <mergeCell ref="L332:L333"/>
    <mergeCell ref="M332:M333"/>
    <mergeCell ref="N332:N333"/>
    <mergeCell ref="O332:O333"/>
    <mergeCell ref="V330:V331"/>
    <mergeCell ref="W330:W331"/>
    <mergeCell ref="X330:X331"/>
    <mergeCell ref="A332:A336"/>
    <mergeCell ref="B332:B336"/>
    <mergeCell ref="C332:C336"/>
    <mergeCell ref="D332:D336"/>
    <mergeCell ref="E332:E336"/>
    <mergeCell ref="F332:F336"/>
    <mergeCell ref="G332:G336"/>
    <mergeCell ref="P330:P331"/>
    <mergeCell ref="Q330:Q331"/>
    <mergeCell ref="R330:R331"/>
    <mergeCell ref="S330:S331"/>
    <mergeCell ref="T330:T331"/>
    <mergeCell ref="U330:U331"/>
    <mergeCell ref="A327:A331"/>
    <mergeCell ref="B327:B331"/>
    <mergeCell ref="C327:C331"/>
    <mergeCell ref="D327:D331"/>
    <mergeCell ref="E327:E331"/>
    <mergeCell ref="F327:F331"/>
    <mergeCell ref="W335:W336"/>
    <mergeCell ref="X335:X336"/>
    <mergeCell ref="U327:U328"/>
    <mergeCell ref="V327:V328"/>
    <mergeCell ref="W327:W328"/>
    <mergeCell ref="X327:X328"/>
    <mergeCell ref="J330:J331"/>
    <mergeCell ref="K330:K331"/>
    <mergeCell ref="L330:L331"/>
    <mergeCell ref="M330:M331"/>
    <mergeCell ref="N330:N331"/>
    <mergeCell ref="O330:O331"/>
    <mergeCell ref="O327:O328"/>
    <mergeCell ref="P327:P328"/>
    <mergeCell ref="Q327:Q328"/>
    <mergeCell ref="R327:R328"/>
    <mergeCell ref="S327:S328"/>
    <mergeCell ref="T327:T328"/>
    <mergeCell ref="G327:G331"/>
    <mergeCell ref="J327:J328"/>
    <mergeCell ref="K327:K328"/>
    <mergeCell ref="L327:L328"/>
    <mergeCell ref="M327:M328"/>
    <mergeCell ref="N327:N328"/>
    <mergeCell ref="T325:T326"/>
    <mergeCell ref="U325:U326"/>
    <mergeCell ref="V325:V326"/>
    <mergeCell ref="W325:W326"/>
    <mergeCell ref="X325:X326"/>
    <mergeCell ref="X322:X323"/>
    <mergeCell ref="J325:J326"/>
    <mergeCell ref="K325:K326"/>
    <mergeCell ref="L325:L326"/>
    <mergeCell ref="M325:M326"/>
    <mergeCell ref="N325:N326"/>
    <mergeCell ref="O325:O326"/>
    <mergeCell ref="P325:P326"/>
    <mergeCell ref="Q325:Q326"/>
    <mergeCell ref="R325:R326"/>
    <mergeCell ref="R322:R323"/>
    <mergeCell ref="S322:S323"/>
    <mergeCell ref="T322:T323"/>
    <mergeCell ref="U322:U323"/>
    <mergeCell ref="V322:V323"/>
    <mergeCell ref="W322:W323"/>
    <mergeCell ref="L322:L323"/>
    <mergeCell ref="M322:M323"/>
    <mergeCell ref="N322:N323"/>
    <mergeCell ref="O322:O323"/>
    <mergeCell ref="P322:P323"/>
    <mergeCell ref="Q322:Q323"/>
    <mergeCell ref="A322:A326"/>
    <mergeCell ref="B322:B326"/>
    <mergeCell ref="C322:C326"/>
    <mergeCell ref="D322:D326"/>
    <mergeCell ref="E322:E326"/>
    <mergeCell ref="F322:F326"/>
    <mergeCell ref="G322:G326"/>
    <mergeCell ref="J322:J323"/>
    <mergeCell ref="K322:K323"/>
    <mergeCell ref="R320:R321"/>
    <mergeCell ref="S320:S321"/>
    <mergeCell ref="T320:T321"/>
    <mergeCell ref="U320:U321"/>
    <mergeCell ref="V320:V321"/>
    <mergeCell ref="W320:W321"/>
    <mergeCell ref="W317:W318"/>
    <mergeCell ref="X317:X318"/>
    <mergeCell ref="J320:J321"/>
    <mergeCell ref="K320:K321"/>
    <mergeCell ref="L320:L321"/>
    <mergeCell ref="M320:M321"/>
    <mergeCell ref="N320:N321"/>
    <mergeCell ref="O320:O321"/>
    <mergeCell ref="P320:P321"/>
    <mergeCell ref="Q320:Q321"/>
    <mergeCell ref="Q317:Q318"/>
    <mergeCell ref="R317:R318"/>
    <mergeCell ref="S317:S318"/>
    <mergeCell ref="T317:T318"/>
    <mergeCell ref="U317:U318"/>
    <mergeCell ref="V317:V318"/>
    <mergeCell ref="S325:S326"/>
    <mergeCell ref="K317:K318"/>
    <mergeCell ref="L317:L318"/>
    <mergeCell ref="M317:M318"/>
    <mergeCell ref="N317:N318"/>
    <mergeCell ref="O317:O318"/>
    <mergeCell ref="P317:P318"/>
    <mergeCell ref="W315:W316"/>
    <mergeCell ref="X315:X316"/>
    <mergeCell ref="A317:A321"/>
    <mergeCell ref="B317:B321"/>
    <mergeCell ref="C317:C321"/>
    <mergeCell ref="D317:D321"/>
    <mergeCell ref="E317:E321"/>
    <mergeCell ref="F317:F321"/>
    <mergeCell ref="G317:G321"/>
    <mergeCell ref="J317:J318"/>
    <mergeCell ref="Q315:Q316"/>
    <mergeCell ref="R315:R316"/>
    <mergeCell ref="S315:S316"/>
    <mergeCell ref="T315:T316"/>
    <mergeCell ref="U315:U316"/>
    <mergeCell ref="V315:V316"/>
    <mergeCell ref="X320:X321"/>
    <mergeCell ref="X312:X313"/>
    <mergeCell ref="J315:J316"/>
    <mergeCell ref="K315:K316"/>
    <mergeCell ref="L315:L316"/>
    <mergeCell ref="M315:M316"/>
    <mergeCell ref="N315:N316"/>
    <mergeCell ref="O315:O316"/>
    <mergeCell ref="P315:P316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X310:X311"/>
    <mergeCell ref="A312:A316"/>
    <mergeCell ref="B312:B316"/>
    <mergeCell ref="C312:C316"/>
    <mergeCell ref="D312:D316"/>
    <mergeCell ref="E312:E316"/>
    <mergeCell ref="F312:F316"/>
    <mergeCell ref="G312:G316"/>
    <mergeCell ref="P310:P311"/>
    <mergeCell ref="Q310:Q311"/>
    <mergeCell ref="R310:R311"/>
    <mergeCell ref="S310:S311"/>
    <mergeCell ref="T310:T311"/>
    <mergeCell ref="U310:U311"/>
    <mergeCell ref="U307:U308"/>
    <mergeCell ref="V307:V308"/>
    <mergeCell ref="W307:W308"/>
    <mergeCell ref="X307:X308"/>
    <mergeCell ref="J310:J311"/>
    <mergeCell ref="K310:K311"/>
    <mergeCell ref="L310:L311"/>
    <mergeCell ref="M310:M311"/>
    <mergeCell ref="N310:N311"/>
    <mergeCell ref="O310:O311"/>
    <mergeCell ref="O307:O308"/>
    <mergeCell ref="P307:P308"/>
    <mergeCell ref="Q307:Q308"/>
    <mergeCell ref="R307:R308"/>
    <mergeCell ref="S307:S308"/>
    <mergeCell ref="T307:T308"/>
    <mergeCell ref="V312:V313"/>
    <mergeCell ref="W312:W313"/>
    <mergeCell ref="O302:O303"/>
    <mergeCell ref="P302:P303"/>
    <mergeCell ref="Q302:Q303"/>
    <mergeCell ref="J302:J303"/>
    <mergeCell ref="K302:K303"/>
    <mergeCell ref="X305:X306"/>
    <mergeCell ref="G307:G311"/>
    <mergeCell ref="J307:J308"/>
    <mergeCell ref="K307:K308"/>
    <mergeCell ref="L307:L308"/>
    <mergeCell ref="M307:M308"/>
    <mergeCell ref="N307:N308"/>
    <mergeCell ref="A307:A311"/>
    <mergeCell ref="B307:B311"/>
    <mergeCell ref="C307:C311"/>
    <mergeCell ref="D307:D311"/>
    <mergeCell ref="E307:E311"/>
    <mergeCell ref="F307:F311"/>
    <mergeCell ref="S305:S306"/>
    <mergeCell ref="T305:T306"/>
    <mergeCell ref="U305:U306"/>
    <mergeCell ref="V305:V306"/>
    <mergeCell ref="W305:W306"/>
    <mergeCell ref="V310:V311"/>
    <mergeCell ref="W310:W311"/>
    <mergeCell ref="A302:A306"/>
    <mergeCell ref="B302:B306"/>
    <mergeCell ref="C302:C306"/>
    <mergeCell ref="D302:D306"/>
    <mergeCell ref="E302:E306"/>
    <mergeCell ref="F302:F306"/>
    <mergeCell ref="G302:G306"/>
    <mergeCell ref="Q300:Q301"/>
    <mergeCell ref="Q297:Q298"/>
    <mergeCell ref="R297:R298"/>
    <mergeCell ref="S297:S298"/>
    <mergeCell ref="T297:T298"/>
    <mergeCell ref="U297:U298"/>
    <mergeCell ref="V297:V298"/>
    <mergeCell ref="K297:K298"/>
    <mergeCell ref="L297:L298"/>
    <mergeCell ref="M297:M298"/>
    <mergeCell ref="N297:N298"/>
    <mergeCell ref="O297:O298"/>
    <mergeCell ref="P297:P298"/>
    <mergeCell ref="X302:X303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R302:R303"/>
    <mergeCell ref="S302:S303"/>
    <mergeCell ref="T302:T303"/>
    <mergeCell ref="U302:U303"/>
    <mergeCell ref="V302:V303"/>
    <mergeCell ref="W302:W303"/>
    <mergeCell ref="L302:L303"/>
    <mergeCell ref="M302:M303"/>
    <mergeCell ref="N302:N303"/>
    <mergeCell ref="W295:W296"/>
    <mergeCell ref="X295:X296"/>
    <mergeCell ref="A297:A301"/>
    <mergeCell ref="B297:B301"/>
    <mergeCell ref="C297:C301"/>
    <mergeCell ref="D297:D301"/>
    <mergeCell ref="E297:E301"/>
    <mergeCell ref="F297:F301"/>
    <mergeCell ref="G297:G301"/>
    <mergeCell ref="J297:J298"/>
    <mergeCell ref="Q295:Q296"/>
    <mergeCell ref="R295:R296"/>
    <mergeCell ref="S295:S296"/>
    <mergeCell ref="T295:T296"/>
    <mergeCell ref="U295:U296"/>
    <mergeCell ref="V295:V296"/>
    <mergeCell ref="X300:X301"/>
    <mergeCell ref="R300:R301"/>
    <mergeCell ref="S300:S301"/>
    <mergeCell ref="T300:T301"/>
    <mergeCell ref="U300:U301"/>
    <mergeCell ref="V300:V301"/>
    <mergeCell ref="W300:W301"/>
    <mergeCell ref="W297:W298"/>
    <mergeCell ref="X297:X298"/>
    <mergeCell ref="J300:J301"/>
    <mergeCell ref="K300:K301"/>
    <mergeCell ref="L300:L301"/>
    <mergeCell ref="M300:M301"/>
    <mergeCell ref="N300:N301"/>
    <mergeCell ref="O300:O301"/>
    <mergeCell ref="P300:P301"/>
    <mergeCell ref="J295:J296"/>
    <mergeCell ref="K295:K296"/>
    <mergeCell ref="L295:L296"/>
    <mergeCell ref="M295:M296"/>
    <mergeCell ref="N295:N296"/>
    <mergeCell ref="O295:O296"/>
    <mergeCell ref="P295:P296"/>
    <mergeCell ref="P292:P293"/>
    <mergeCell ref="Q292:Q293"/>
    <mergeCell ref="R292:R293"/>
    <mergeCell ref="S292:S293"/>
    <mergeCell ref="T292:T293"/>
    <mergeCell ref="U292:U293"/>
    <mergeCell ref="J292:J293"/>
    <mergeCell ref="K292:K293"/>
    <mergeCell ref="L292:L293"/>
    <mergeCell ref="M292:M293"/>
    <mergeCell ref="N292:N293"/>
    <mergeCell ref="O292:O293"/>
    <mergeCell ref="A292:A296"/>
    <mergeCell ref="B292:B296"/>
    <mergeCell ref="C292:C296"/>
    <mergeCell ref="D292:D296"/>
    <mergeCell ref="E292:E296"/>
    <mergeCell ref="F292:F296"/>
    <mergeCell ref="G292:G296"/>
    <mergeCell ref="P290:P291"/>
    <mergeCell ref="Q290:Q291"/>
    <mergeCell ref="R290:R291"/>
    <mergeCell ref="S290:S291"/>
    <mergeCell ref="T290:T291"/>
    <mergeCell ref="U290:U291"/>
    <mergeCell ref="U287:U288"/>
    <mergeCell ref="V287:V288"/>
    <mergeCell ref="W287:W288"/>
    <mergeCell ref="X287:X288"/>
    <mergeCell ref="J290:J291"/>
    <mergeCell ref="K290:K291"/>
    <mergeCell ref="L290:L291"/>
    <mergeCell ref="M290:M291"/>
    <mergeCell ref="N290:N291"/>
    <mergeCell ref="O290:O291"/>
    <mergeCell ref="O287:O288"/>
    <mergeCell ref="P287:P288"/>
    <mergeCell ref="Q287:Q288"/>
    <mergeCell ref="R287:R288"/>
    <mergeCell ref="S287:S288"/>
    <mergeCell ref="T287:T288"/>
    <mergeCell ref="V292:V293"/>
    <mergeCell ref="W292:W293"/>
    <mergeCell ref="X292:X293"/>
    <mergeCell ref="Q282:Q283"/>
    <mergeCell ref="J282:J283"/>
    <mergeCell ref="K282:K283"/>
    <mergeCell ref="X285:X286"/>
    <mergeCell ref="G287:G291"/>
    <mergeCell ref="J287:J288"/>
    <mergeCell ref="K287:K288"/>
    <mergeCell ref="L287:L288"/>
    <mergeCell ref="M287:M288"/>
    <mergeCell ref="N287:N288"/>
    <mergeCell ref="A287:A291"/>
    <mergeCell ref="B287:B291"/>
    <mergeCell ref="C287:C291"/>
    <mergeCell ref="D287:D291"/>
    <mergeCell ref="E287:E291"/>
    <mergeCell ref="F287:F291"/>
    <mergeCell ref="S285:S286"/>
    <mergeCell ref="T285:T286"/>
    <mergeCell ref="U285:U286"/>
    <mergeCell ref="V285:V286"/>
    <mergeCell ref="W285:W286"/>
    <mergeCell ref="V290:V291"/>
    <mergeCell ref="W290:W291"/>
    <mergeCell ref="A282:A286"/>
    <mergeCell ref="B282:B286"/>
    <mergeCell ref="C282:C286"/>
    <mergeCell ref="D282:D286"/>
    <mergeCell ref="E282:E286"/>
    <mergeCell ref="F282:F286"/>
    <mergeCell ref="G282:G286"/>
    <mergeCell ref="X290:X291"/>
    <mergeCell ref="R277:R278"/>
    <mergeCell ref="S277:S278"/>
    <mergeCell ref="T277:T278"/>
    <mergeCell ref="U277:U278"/>
    <mergeCell ref="V277:V278"/>
    <mergeCell ref="K277:K278"/>
    <mergeCell ref="L277:L278"/>
    <mergeCell ref="M277:M278"/>
    <mergeCell ref="N277:N278"/>
    <mergeCell ref="O277:O278"/>
    <mergeCell ref="P277:P278"/>
    <mergeCell ref="X282:X283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R282:R283"/>
    <mergeCell ref="S282:S283"/>
    <mergeCell ref="T282:T283"/>
    <mergeCell ref="U282:U283"/>
    <mergeCell ref="V282:V283"/>
    <mergeCell ref="W282:W283"/>
    <mergeCell ref="L282:L283"/>
    <mergeCell ref="M282:M283"/>
    <mergeCell ref="N282:N283"/>
    <mergeCell ref="O282:O283"/>
    <mergeCell ref="P282:P283"/>
    <mergeCell ref="A277:A281"/>
    <mergeCell ref="B277:B281"/>
    <mergeCell ref="C277:C281"/>
    <mergeCell ref="D277:D281"/>
    <mergeCell ref="E277:E281"/>
    <mergeCell ref="F277:F281"/>
    <mergeCell ref="G277:G281"/>
    <mergeCell ref="J277:J278"/>
    <mergeCell ref="Q275:Q276"/>
    <mergeCell ref="R275:R276"/>
    <mergeCell ref="S275:S276"/>
    <mergeCell ref="T275:T276"/>
    <mergeCell ref="U275:U276"/>
    <mergeCell ref="V275:V276"/>
    <mergeCell ref="X280:X281"/>
    <mergeCell ref="R280:R281"/>
    <mergeCell ref="S280:S281"/>
    <mergeCell ref="T280:T281"/>
    <mergeCell ref="U280:U281"/>
    <mergeCell ref="V280:V281"/>
    <mergeCell ref="W280:W281"/>
    <mergeCell ref="W277:W278"/>
    <mergeCell ref="X277:X278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Q277:Q278"/>
    <mergeCell ref="X272:X273"/>
    <mergeCell ref="J275:J276"/>
    <mergeCell ref="K275:K276"/>
    <mergeCell ref="L275:L276"/>
    <mergeCell ref="M275:M276"/>
    <mergeCell ref="N275:N276"/>
    <mergeCell ref="O275:O276"/>
    <mergeCell ref="P275:P276"/>
    <mergeCell ref="P272:P273"/>
    <mergeCell ref="Q272:Q273"/>
    <mergeCell ref="R272:R273"/>
    <mergeCell ref="S272:S273"/>
    <mergeCell ref="T272:T273"/>
    <mergeCell ref="U272:U273"/>
    <mergeCell ref="J272:J273"/>
    <mergeCell ref="K272:K273"/>
    <mergeCell ref="L272:L273"/>
    <mergeCell ref="M272:M273"/>
    <mergeCell ref="N272:N273"/>
    <mergeCell ref="O272:O273"/>
    <mergeCell ref="W275:W276"/>
    <mergeCell ref="X275:X276"/>
    <mergeCell ref="X270:X271"/>
    <mergeCell ref="A272:A276"/>
    <mergeCell ref="B272:B276"/>
    <mergeCell ref="C272:C276"/>
    <mergeCell ref="D272:D276"/>
    <mergeCell ref="E272:E276"/>
    <mergeCell ref="F272:F276"/>
    <mergeCell ref="G272:G276"/>
    <mergeCell ref="P270:P271"/>
    <mergeCell ref="Q270:Q271"/>
    <mergeCell ref="R270:R271"/>
    <mergeCell ref="S270:S271"/>
    <mergeCell ref="T270:T271"/>
    <mergeCell ref="U270:U271"/>
    <mergeCell ref="U267:U268"/>
    <mergeCell ref="V267:V268"/>
    <mergeCell ref="W267:W268"/>
    <mergeCell ref="X267:X268"/>
    <mergeCell ref="J270:J271"/>
    <mergeCell ref="K270:K271"/>
    <mergeCell ref="L270:L271"/>
    <mergeCell ref="M270:M271"/>
    <mergeCell ref="N270:N271"/>
    <mergeCell ref="O270:O271"/>
    <mergeCell ref="O267:O268"/>
    <mergeCell ref="P267:P268"/>
    <mergeCell ref="Q267:Q268"/>
    <mergeCell ref="R267:R268"/>
    <mergeCell ref="S267:S268"/>
    <mergeCell ref="T267:T268"/>
    <mergeCell ref="V272:V273"/>
    <mergeCell ref="W272:W273"/>
    <mergeCell ref="O262:O263"/>
    <mergeCell ref="P262:P263"/>
    <mergeCell ref="Q262:Q263"/>
    <mergeCell ref="J262:J263"/>
    <mergeCell ref="K262:K263"/>
    <mergeCell ref="X265:X266"/>
    <mergeCell ref="G267:G271"/>
    <mergeCell ref="J267:J268"/>
    <mergeCell ref="K267:K268"/>
    <mergeCell ref="L267:L268"/>
    <mergeCell ref="M267:M268"/>
    <mergeCell ref="N267:N268"/>
    <mergeCell ref="A267:A271"/>
    <mergeCell ref="B267:B271"/>
    <mergeCell ref="C267:C271"/>
    <mergeCell ref="D267:D271"/>
    <mergeCell ref="E267:E271"/>
    <mergeCell ref="F267:F271"/>
    <mergeCell ref="S265:S266"/>
    <mergeCell ref="T265:T266"/>
    <mergeCell ref="U265:U266"/>
    <mergeCell ref="V265:V266"/>
    <mergeCell ref="W265:W266"/>
    <mergeCell ref="V270:V271"/>
    <mergeCell ref="W270:W271"/>
    <mergeCell ref="A262:A266"/>
    <mergeCell ref="B262:B266"/>
    <mergeCell ref="C262:C266"/>
    <mergeCell ref="D262:D266"/>
    <mergeCell ref="E262:E266"/>
    <mergeCell ref="F262:F266"/>
    <mergeCell ref="G262:G266"/>
    <mergeCell ref="Q260:Q261"/>
    <mergeCell ref="Q257:Q258"/>
    <mergeCell ref="R257:R258"/>
    <mergeCell ref="S257:S258"/>
    <mergeCell ref="T257:T258"/>
    <mergeCell ref="U257:U258"/>
    <mergeCell ref="V257:V258"/>
    <mergeCell ref="K257:K258"/>
    <mergeCell ref="L257:L258"/>
    <mergeCell ref="M257:M258"/>
    <mergeCell ref="N257:N258"/>
    <mergeCell ref="O257:O258"/>
    <mergeCell ref="P257:P258"/>
    <mergeCell ref="X262:X263"/>
    <mergeCell ref="J265:J266"/>
    <mergeCell ref="K265:K266"/>
    <mergeCell ref="L265:L266"/>
    <mergeCell ref="M265:M266"/>
    <mergeCell ref="N265:N266"/>
    <mergeCell ref="O265:O266"/>
    <mergeCell ref="P265:P266"/>
    <mergeCell ref="Q265:Q266"/>
    <mergeCell ref="R265:R266"/>
    <mergeCell ref="R262:R263"/>
    <mergeCell ref="S262:S263"/>
    <mergeCell ref="T262:T263"/>
    <mergeCell ref="U262:U263"/>
    <mergeCell ref="V262:V263"/>
    <mergeCell ref="W262:W263"/>
    <mergeCell ref="L262:L263"/>
    <mergeCell ref="M262:M263"/>
    <mergeCell ref="N262:N263"/>
    <mergeCell ref="W255:W256"/>
    <mergeCell ref="X255:X256"/>
    <mergeCell ref="A257:A261"/>
    <mergeCell ref="B257:B261"/>
    <mergeCell ref="C257:C261"/>
    <mergeCell ref="D257:D261"/>
    <mergeCell ref="E257:E261"/>
    <mergeCell ref="F257:F261"/>
    <mergeCell ref="G257:G261"/>
    <mergeCell ref="J257:J258"/>
    <mergeCell ref="Q255:Q256"/>
    <mergeCell ref="R255:R256"/>
    <mergeCell ref="S255:S256"/>
    <mergeCell ref="T255:T256"/>
    <mergeCell ref="U255:U256"/>
    <mergeCell ref="V255:V256"/>
    <mergeCell ref="X260:X261"/>
    <mergeCell ref="R260:R261"/>
    <mergeCell ref="S260:S261"/>
    <mergeCell ref="T260:T261"/>
    <mergeCell ref="U260:U261"/>
    <mergeCell ref="V260:V261"/>
    <mergeCell ref="W260:W261"/>
    <mergeCell ref="W257:W258"/>
    <mergeCell ref="X257:X258"/>
    <mergeCell ref="J260:J261"/>
    <mergeCell ref="K260:K261"/>
    <mergeCell ref="L260:L261"/>
    <mergeCell ref="M260:M261"/>
    <mergeCell ref="N260:N261"/>
    <mergeCell ref="O260:O261"/>
    <mergeCell ref="P260:P261"/>
    <mergeCell ref="J255:J256"/>
    <mergeCell ref="K255:K256"/>
    <mergeCell ref="L255:L256"/>
    <mergeCell ref="M255:M256"/>
    <mergeCell ref="N255:N256"/>
    <mergeCell ref="O255:O256"/>
    <mergeCell ref="P255:P256"/>
    <mergeCell ref="P252:P253"/>
    <mergeCell ref="Q252:Q253"/>
    <mergeCell ref="R252:R253"/>
    <mergeCell ref="S252:S253"/>
    <mergeCell ref="T252:T253"/>
    <mergeCell ref="U252:U253"/>
    <mergeCell ref="J252:J253"/>
    <mergeCell ref="K252:K253"/>
    <mergeCell ref="L252:L253"/>
    <mergeCell ref="M252:M253"/>
    <mergeCell ref="N252:N253"/>
    <mergeCell ref="O252:O253"/>
    <mergeCell ref="A252:A256"/>
    <mergeCell ref="B252:B256"/>
    <mergeCell ref="C252:C256"/>
    <mergeCell ref="D252:D256"/>
    <mergeCell ref="E252:E256"/>
    <mergeCell ref="F252:F256"/>
    <mergeCell ref="G252:G256"/>
    <mergeCell ref="P250:P251"/>
    <mergeCell ref="Q250:Q251"/>
    <mergeCell ref="R250:R251"/>
    <mergeCell ref="S250:S251"/>
    <mergeCell ref="T250:T251"/>
    <mergeCell ref="U250:U251"/>
    <mergeCell ref="U247:U248"/>
    <mergeCell ref="V247:V248"/>
    <mergeCell ref="W247:W248"/>
    <mergeCell ref="X247:X248"/>
    <mergeCell ref="J250:J251"/>
    <mergeCell ref="K250:K251"/>
    <mergeCell ref="L250:L251"/>
    <mergeCell ref="M250:M251"/>
    <mergeCell ref="N250:N251"/>
    <mergeCell ref="O250:O251"/>
    <mergeCell ref="O247:O248"/>
    <mergeCell ref="P247:P248"/>
    <mergeCell ref="Q247:Q248"/>
    <mergeCell ref="R247:R248"/>
    <mergeCell ref="S247:S248"/>
    <mergeCell ref="T247:T248"/>
    <mergeCell ref="V252:V253"/>
    <mergeCell ref="W252:W253"/>
    <mergeCell ref="X252:X253"/>
    <mergeCell ref="Q242:Q243"/>
    <mergeCell ref="J242:J243"/>
    <mergeCell ref="K242:K243"/>
    <mergeCell ref="X245:X246"/>
    <mergeCell ref="G247:G251"/>
    <mergeCell ref="J247:J248"/>
    <mergeCell ref="K247:K248"/>
    <mergeCell ref="L247:L248"/>
    <mergeCell ref="M247:M248"/>
    <mergeCell ref="N247:N248"/>
    <mergeCell ref="A247:A251"/>
    <mergeCell ref="B247:B251"/>
    <mergeCell ref="C247:C251"/>
    <mergeCell ref="D247:D251"/>
    <mergeCell ref="E247:E251"/>
    <mergeCell ref="F247:F251"/>
    <mergeCell ref="S245:S246"/>
    <mergeCell ref="T245:T246"/>
    <mergeCell ref="U245:U246"/>
    <mergeCell ref="V245:V246"/>
    <mergeCell ref="W245:W246"/>
    <mergeCell ref="V250:V251"/>
    <mergeCell ref="W250:W251"/>
    <mergeCell ref="A242:A246"/>
    <mergeCell ref="B242:B246"/>
    <mergeCell ref="C242:C246"/>
    <mergeCell ref="D242:D246"/>
    <mergeCell ref="E242:E246"/>
    <mergeCell ref="F242:F246"/>
    <mergeCell ref="G242:G246"/>
    <mergeCell ref="X250:X251"/>
    <mergeCell ref="R237:R238"/>
    <mergeCell ref="S237:S238"/>
    <mergeCell ref="T237:T238"/>
    <mergeCell ref="U237:U238"/>
    <mergeCell ref="V237:V238"/>
    <mergeCell ref="K237:K238"/>
    <mergeCell ref="L237:L238"/>
    <mergeCell ref="M237:M238"/>
    <mergeCell ref="N237:N238"/>
    <mergeCell ref="O237:O238"/>
    <mergeCell ref="P237:P238"/>
    <mergeCell ref="X242:X243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R242:R243"/>
    <mergeCell ref="S242:S243"/>
    <mergeCell ref="T242:T243"/>
    <mergeCell ref="U242:U243"/>
    <mergeCell ref="V242:V243"/>
    <mergeCell ref="W242:W243"/>
    <mergeCell ref="L242:L243"/>
    <mergeCell ref="M242:M243"/>
    <mergeCell ref="N242:N243"/>
    <mergeCell ref="O242:O243"/>
    <mergeCell ref="P242:P243"/>
    <mergeCell ref="A237:A241"/>
    <mergeCell ref="B237:B241"/>
    <mergeCell ref="C237:C241"/>
    <mergeCell ref="D237:D241"/>
    <mergeCell ref="E237:E241"/>
    <mergeCell ref="F237:F241"/>
    <mergeCell ref="G237:G241"/>
    <mergeCell ref="J237:J238"/>
    <mergeCell ref="Q235:Q236"/>
    <mergeCell ref="R235:R236"/>
    <mergeCell ref="S235:S236"/>
    <mergeCell ref="T235:T236"/>
    <mergeCell ref="U235:U236"/>
    <mergeCell ref="V235:V236"/>
    <mergeCell ref="X240:X241"/>
    <mergeCell ref="R240:R241"/>
    <mergeCell ref="S240:S241"/>
    <mergeCell ref="T240:T241"/>
    <mergeCell ref="U240:U241"/>
    <mergeCell ref="V240:V241"/>
    <mergeCell ref="W240:W241"/>
    <mergeCell ref="W237:W238"/>
    <mergeCell ref="X237:X238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Q237:Q238"/>
    <mergeCell ref="X232:X233"/>
    <mergeCell ref="J235:J236"/>
    <mergeCell ref="K235:K236"/>
    <mergeCell ref="L235:L236"/>
    <mergeCell ref="M235:M236"/>
    <mergeCell ref="N235:N236"/>
    <mergeCell ref="O235:O236"/>
    <mergeCell ref="P235:P236"/>
    <mergeCell ref="P232:P233"/>
    <mergeCell ref="Q232:Q233"/>
    <mergeCell ref="R232:R233"/>
    <mergeCell ref="S232:S233"/>
    <mergeCell ref="T232:T233"/>
    <mergeCell ref="U232:U233"/>
    <mergeCell ref="J232:J233"/>
    <mergeCell ref="K232:K233"/>
    <mergeCell ref="L232:L233"/>
    <mergeCell ref="M232:M233"/>
    <mergeCell ref="N232:N233"/>
    <mergeCell ref="O232:O233"/>
    <mergeCell ref="W235:W236"/>
    <mergeCell ref="X235:X236"/>
    <mergeCell ref="X230:X231"/>
    <mergeCell ref="A232:A236"/>
    <mergeCell ref="B232:B236"/>
    <mergeCell ref="C232:C236"/>
    <mergeCell ref="D232:D236"/>
    <mergeCell ref="E232:E236"/>
    <mergeCell ref="F232:F236"/>
    <mergeCell ref="G232:G236"/>
    <mergeCell ref="P230:P231"/>
    <mergeCell ref="Q230:Q231"/>
    <mergeCell ref="R230:R231"/>
    <mergeCell ref="S230:S231"/>
    <mergeCell ref="T230:T231"/>
    <mergeCell ref="U230:U231"/>
    <mergeCell ref="U227:U228"/>
    <mergeCell ref="V227:V228"/>
    <mergeCell ref="W227:W228"/>
    <mergeCell ref="X227:X228"/>
    <mergeCell ref="J230:J231"/>
    <mergeCell ref="K230:K231"/>
    <mergeCell ref="L230:L231"/>
    <mergeCell ref="M230:M231"/>
    <mergeCell ref="N230:N231"/>
    <mergeCell ref="O230:O231"/>
    <mergeCell ref="O227:O228"/>
    <mergeCell ref="P227:P228"/>
    <mergeCell ref="Q227:Q228"/>
    <mergeCell ref="R227:R228"/>
    <mergeCell ref="S227:S228"/>
    <mergeCell ref="T227:T228"/>
    <mergeCell ref="V232:V233"/>
    <mergeCell ref="W232:W233"/>
    <mergeCell ref="O222:O223"/>
    <mergeCell ref="P222:P223"/>
    <mergeCell ref="Q222:Q223"/>
    <mergeCell ref="J222:J223"/>
    <mergeCell ref="K222:K223"/>
    <mergeCell ref="X225:X226"/>
    <mergeCell ref="G227:G231"/>
    <mergeCell ref="J227:J228"/>
    <mergeCell ref="K227:K228"/>
    <mergeCell ref="L227:L228"/>
    <mergeCell ref="M227:M228"/>
    <mergeCell ref="N227:N228"/>
    <mergeCell ref="A227:A231"/>
    <mergeCell ref="B227:B231"/>
    <mergeCell ref="C227:C231"/>
    <mergeCell ref="D227:D231"/>
    <mergeCell ref="E227:E231"/>
    <mergeCell ref="F227:F231"/>
    <mergeCell ref="S225:S226"/>
    <mergeCell ref="T225:T226"/>
    <mergeCell ref="U225:U226"/>
    <mergeCell ref="V225:V226"/>
    <mergeCell ref="W225:W226"/>
    <mergeCell ref="V230:V231"/>
    <mergeCell ref="W230:W231"/>
    <mergeCell ref="A222:A226"/>
    <mergeCell ref="B222:B226"/>
    <mergeCell ref="C222:C226"/>
    <mergeCell ref="D222:D226"/>
    <mergeCell ref="E222:E226"/>
    <mergeCell ref="F222:F226"/>
    <mergeCell ref="G222:G226"/>
    <mergeCell ref="Q220:Q221"/>
    <mergeCell ref="Q217:Q218"/>
    <mergeCell ref="R217:R218"/>
    <mergeCell ref="S217:S218"/>
    <mergeCell ref="T217:T218"/>
    <mergeCell ref="U217:U218"/>
    <mergeCell ref="V217:V218"/>
    <mergeCell ref="K217:K218"/>
    <mergeCell ref="L217:L218"/>
    <mergeCell ref="M217:M218"/>
    <mergeCell ref="N217:N218"/>
    <mergeCell ref="O217:O218"/>
    <mergeCell ref="P217:P218"/>
    <mergeCell ref="X222:X223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R222:R223"/>
    <mergeCell ref="S222:S223"/>
    <mergeCell ref="T222:T223"/>
    <mergeCell ref="U222:U223"/>
    <mergeCell ref="V222:V223"/>
    <mergeCell ref="W222:W223"/>
    <mergeCell ref="L222:L223"/>
    <mergeCell ref="M222:M223"/>
    <mergeCell ref="N222:N223"/>
    <mergeCell ref="W215:W216"/>
    <mergeCell ref="X215:X216"/>
    <mergeCell ref="A217:A221"/>
    <mergeCell ref="B217:B221"/>
    <mergeCell ref="C217:C221"/>
    <mergeCell ref="D217:D221"/>
    <mergeCell ref="E217:E221"/>
    <mergeCell ref="F217:F221"/>
    <mergeCell ref="G217:G221"/>
    <mergeCell ref="J217:J218"/>
    <mergeCell ref="Q215:Q216"/>
    <mergeCell ref="R215:R216"/>
    <mergeCell ref="S215:S216"/>
    <mergeCell ref="T215:T216"/>
    <mergeCell ref="U215:U216"/>
    <mergeCell ref="V215:V216"/>
    <mergeCell ref="X220:X221"/>
    <mergeCell ref="R220:R221"/>
    <mergeCell ref="S220:S221"/>
    <mergeCell ref="T220:T221"/>
    <mergeCell ref="U220:U221"/>
    <mergeCell ref="V220:V221"/>
    <mergeCell ref="W220:W221"/>
    <mergeCell ref="W217:W218"/>
    <mergeCell ref="X217:X218"/>
    <mergeCell ref="J220:J221"/>
    <mergeCell ref="K220:K221"/>
    <mergeCell ref="L220:L221"/>
    <mergeCell ref="M220:M221"/>
    <mergeCell ref="N220:N221"/>
    <mergeCell ref="O220:O221"/>
    <mergeCell ref="P220:P221"/>
    <mergeCell ref="J215:J216"/>
    <mergeCell ref="K215:K216"/>
    <mergeCell ref="L215:L216"/>
    <mergeCell ref="M215:M216"/>
    <mergeCell ref="N215:N216"/>
    <mergeCell ref="O215:O216"/>
    <mergeCell ref="P215:P216"/>
    <mergeCell ref="P212:P213"/>
    <mergeCell ref="Q212:Q213"/>
    <mergeCell ref="R212:R213"/>
    <mergeCell ref="S212:S213"/>
    <mergeCell ref="T212:T213"/>
    <mergeCell ref="U212:U213"/>
    <mergeCell ref="J212:J213"/>
    <mergeCell ref="K212:K213"/>
    <mergeCell ref="L212:L213"/>
    <mergeCell ref="M212:M213"/>
    <mergeCell ref="N212:N213"/>
    <mergeCell ref="O212:O213"/>
    <mergeCell ref="A212:A216"/>
    <mergeCell ref="B212:B216"/>
    <mergeCell ref="C212:C216"/>
    <mergeCell ref="D212:D216"/>
    <mergeCell ref="E212:E216"/>
    <mergeCell ref="F212:F216"/>
    <mergeCell ref="G212:G216"/>
    <mergeCell ref="P210:P211"/>
    <mergeCell ref="Q210:Q211"/>
    <mergeCell ref="R210:R211"/>
    <mergeCell ref="S210:S211"/>
    <mergeCell ref="T210:T211"/>
    <mergeCell ref="U210:U211"/>
    <mergeCell ref="U207:U208"/>
    <mergeCell ref="V207:V208"/>
    <mergeCell ref="W207:W208"/>
    <mergeCell ref="X207:X208"/>
    <mergeCell ref="J210:J211"/>
    <mergeCell ref="K210:K211"/>
    <mergeCell ref="L210:L211"/>
    <mergeCell ref="M210:M211"/>
    <mergeCell ref="N210:N211"/>
    <mergeCell ref="O210:O211"/>
    <mergeCell ref="O207:O208"/>
    <mergeCell ref="P207:P208"/>
    <mergeCell ref="Q207:Q208"/>
    <mergeCell ref="R207:R208"/>
    <mergeCell ref="S207:S208"/>
    <mergeCell ref="T207:T208"/>
    <mergeCell ref="V212:V213"/>
    <mergeCell ref="W212:W213"/>
    <mergeCell ref="X212:X213"/>
    <mergeCell ref="Q202:Q203"/>
    <mergeCell ref="J202:J203"/>
    <mergeCell ref="K202:K203"/>
    <mergeCell ref="X205:X206"/>
    <mergeCell ref="G207:G211"/>
    <mergeCell ref="J207:J208"/>
    <mergeCell ref="K207:K208"/>
    <mergeCell ref="L207:L208"/>
    <mergeCell ref="M207:M208"/>
    <mergeCell ref="N207:N208"/>
    <mergeCell ref="A207:A211"/>
    <mergeCell ref="B207:B211"/>
    <mergeCell ref="C207:C211"/>
    <mergeCell ref="D207:D211"/>
    <mergeCell ref="E207:E211"/>
    <mergeCell ref="F207:F211"/>
    <mergeCell ref="S205:S206"/>
    <mergeCell ref="T205:T206"/>
    <mergeCell ref="U205:U206"/>
    <mergeCell ref="V205:V206"/>
    <mergeCell ref="W205:W206"/>
    <mergeCell ref="V210:V211"/>
    <mergeCell ref="W210:W211"/>
    <mergeCell ref="A202:A206"/>
    <mergeCell ref="B202:B206"/>
    <mergeCell ref="C202:C206"/>
    <mergeCell ref="D202:D206"/>
    <mergeCell ref="E202:E206"/>
    <mergeCell ref="F202:F206"/>
    <mergeCell ref="G202:G206"/>
    <mergeCell ref="X210:X211"/>
    <mergeCell ref="R197:R198"/>
    <mergeCell ref="S197:S198"/>
    <mergeCell ref="T197:T198"/>
    <mergeCell ref="U197:U198"/>
    <mergeCell ref="V197:V198"/>
    <mergeCell ref="K197:K198"/>
    <mergeCell ref="L197:L198"/>
    <mergeCell ref="M197:M198"/>
    <mergeCell ref="N197:N198"/>
    <mergeCell ref="O197:O198"/>
    <mergeCell ref="P197:P198"/>
    <mergeCell ref="X202:X203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R202:R203"/>
    <mergeCell ref="S202:S203"/>
    <mergeCell ref="T202:T203"/>
    <mergeCell ref="U202:U203"/>
    <mergeCell ref="V202:V203"/>
    <mergeCell ref="W202:W203"/>
    <mergeCell ref="L202:L203"/>
    <mergeCell ref="M202:M203"/>
    <mergeCell ref="N202:N203"/>
    <mergeCell ref="O202:O203"/>
    <mergeCell ref="P202:P203"/>
    <mergeCell ref="A197:A201"/>
    <mergeCell ref="B197:B201"/>
    <mergeCell ref="C197:C201"/>
    <mergeCell ref="D197:D201"/>
    <mergeCell ref="E197:E201"/>
    <mergeCell ref="F197:F201"/>
    <mergeCell ref="G197:G201"/>
    <mergeCell ref="J197:J198"/>
    <mergeCell ref="Q195:Q196"/>
    <mergeCell ref="R195:R196"/>
    <mergeCell ref="S195:S196"/>
    <mergeCell ref="T195:T196"/>
    <mergeCell ref="U195:U196"/>
    <mergeCell ref="V195:V196"/>
    <mergeCell ref="X200:X201"/>
    <mergeCell ref="R200:R201"/>
    <mergeCell ref="S200:S201"/>
    <mergeCell ref="T200:T201"/>
    <mergeCell ref="U200:U201"/>
    <mergeCell ref="V200:V201"/>
    <mergeCell ref="W200:W201"/>
    <mergeCell ref="W197:W198"/>
    <mergeCell ref="X197:X198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Q197:Q198"/>
    <mergeCell ref="X192:X193"/>
    <mergeCell ref="J195:J196"/>
    <mergeCell ref="K195:K196"/>
    <mergeCell ref="L195:L196"/>
    <mergeCell ref="M195:M196"/>
    <mergeCell ref="N195:N196"/>
    <mergeCell ref="O195:O196"/>
    <mergeCell ref="P195:P196"/>
    <mergeCell ref="P192:P193"/>
    <mergeCell ref="Q192:Q193"/>
    <mergeCell ref="R192:R193"/>
    <mergeCell ref="S192:S193"/>
    <mergeCell ref="T192:T193"/>
    <mergeCell ref="U192:U193"/>
    <mergeCell ref="J192:J193"/>
    <mergeCell ref="K192:K193"/>
    <mergeCell ref="L192:L193"/>
    <mergeCell ref="M192:M193"/>
    <mergeCell ref="N192:N193"/>
    <mergeCell ref="O192:O193"/>
    <mergeCell ref="W195:W196"/>
    <mergeCell ref="X195:X196"/>
    <mergeCell ref="X190:X191"/>
    <mergeCell ref="A192:A196"/>
    <mergeCell ref="B192:B196"/>
    <mergeCell ref="C192:C196"/>
    <mergeCell ref="D192:D196"/>
    <mergeCell ref="E192:E196"/>
    <mergeCell ref="F192:F196"/>
    <mergeCell ref="G192:G196"/>
    <mergeCell ref="P190:P191"/>
    <mergeCell ref="Q190:Q191"/>
    <mergeCell ref="R190:R191"/>
    <mergeCell ref="S190:S191"/>
    <mergeCell ref="T190:T191"/>
    <mergeCell ref="U190:U191"/>
    <mergeCell ref="U187:U188"/>
    <mergeCell ref="V187:V188"/>
    <mergeCell ref="W187:W188"/>
    <mergeCell ref="X187:X188"/>
    <mergeCell ref="J190:J191"/>
    <mergeCell ref="K190:K191"/>
    <mergeCell ref="L190:L191"/>
    <mergeCell ref="M190:M191"/>
    <mergeCell ref="N190:N191"/>
    <mergeCell ref="O190:O191"/>
    <mergeCell ref="O187:O188"/>
    <mergeCell ref="P187:P188"/>
    <mergeCell ref="Q187:Q188"/>
    <mergeCell ref="R187:R188"/>
    <mergeCell ref="S187:S188"/>
    <mergeCell ref="T187:T188"/>
    <mergeCell ref="V192:V193"/>
    <mergeCell ref="W192:W193"/>
    <mergeCell ref="O182:O183"/>
    <mergeCell ref="P182:P183"/>
    <mergeCell ref="Q182:Q183"/>
    <mergeCell ref="J182:J183"/>
    <mergeCell ref="K182:K183"/>
    <mergeCell ref="X185:X186"/>
    <mergeCell ref="G187:G191"/>
    <mergeCell ref="J187:J188"/>
    <mergeCell ref="K187:K188"/>
    <mergeCell ref="L187:L188"/>
    <mergeCell ref="M187:M188"/>
    <mergeCell ref="N187:N188"/>
    <mergeCell ref="A187:A191"/>
    <mergeCell ref="B187:B191"/>
    <mergeCell ref="C187:C191"/>
    <mergeCell ref="D187:D191"/>
    <mergeCell ref="E187:E191"/>
    <mergeCell ref="F187:F191"/>
    <mergeCell ref="S185:S186"/>
    <mergeCell ref="T185:T186"/>
    <mergeCell ref="U185:U186"/>
    <mergeCell ref="V185:V186"/>
    <mergeCell ref="W185:W186"/>
    <mergeCell ref="V190:V191"/>
    <mergeCell ref="W190:W191"/>
    <mergeCell ref="A182:A186"/>
    <mergeCell ref="B182:B186"/>
    <mergeCell ref="C182:C186"/>
    <mergeCell ref="D182:D186"/>
    <mergeCell ref="E182:E186"/>
    <mergeCell ref="F182:F186"/>
    <mergeCell ref="G182:G186"/>
    <mergeCell ref="Q180:Q181"/>
    <mergeCell ref="Q177:Q178"/>
    <mergeCell ref="R177:R178"/>
    <mergeCell ref="S177:S178"/>
    <mergeCell ref="T177:T178"/>
    <mergeCell ref="U177:U178"/>
    <mergeCell ref="V177:V178"/>
    <mergeCell ref="K177:K178"/>
    <mergeCell ref="L177:L178"/>
    <mergeCell ref="M177:M178"/>
    <mergeCell ref="N177:N178"/>
    <mergeCell ref="O177:O178"/>
    <mergeCell ref="P177:P178"/>
    <mergeCell ref="X182:X183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R182:R183"/>
    <mergeCell ref="S182:S183"/>
    <mergeCell ref="T182:T183"/>
    <mergeCell ref="U182:U183"/>
    <mergeCell ref="V182:V183"/>
    <mergeCell ref="W182:W183"/>
    <mergeCell ref="L182:L183"/>
    <mergeCell ref="M182:M183"/>
    <mergeCell ref="N182:N183"/>
    <mergeCell ref="W175:W176"/>
    <mergeCell ref="X175:X176"/>
    <mergeCell ref="A177:A181"/>
    <mergeCell ref="B177:B181"/>
    <mergeCell ref="C177:C181"/>
    <mergeCell ref="D177:D181"/>
    <mergeCell ref="E177:E181"/>
    <mergeCell ref="F177:F181"/>
    <mergeCell ref="G177:G181"/>
    <mergeCell ref="J177:J178"/>
    <mergeCell ref="Q175:Q176"/>
    <mergeCell ref="R175:R176"/>
    <mergeCell ref="S175:S176"/>
    <mergeCell ref="T175:T176"/>
    <mergeCell ref="U175:U176"/>
    <mergeCell ref="V175:V176"/>
    <mergeCell ref="X180:X181"/>
    <mergeCell ref="R180:R181"/>
    <mergeCell ref="S180:S181"/>
    <mergeCell ref="T180:T181"/>
    <mergeCell ref="U180:U181"/>
    <mergeCell ref="V180:V181"/>
    <mergeCell ref="W180:W181"/>
    <mergeCell ref="W177:W178"/>
    <mergeCell ref="X177:X178"/>
    <mergeCell ref="J180:J181"/>
    <mergeCell ref="K180:K181"/>
    <mergeCell ref="L180:L181"/>
    <mergeCell ref="M180:M181"/>
    <mergeCell ref="N180:N181"/>
    <mergeCell ref="O180:O181"/>
    <mergeCell ref="P180:P181"/>
    <mergeCell ref="J175:J176"/>
    <mergeCell ref="K175:K176"/>
    <mergeCell ref="L175:L176"/>
    <mergeCell ref="M175:M176"/>
    <mergeCell ref="N175:N176"/>
    <mergeCell ref="O175:O176"/>
    <mergeCell ref="P175:P176"/>
    <mergeCell ref="P172:P173"/>
    <mergeCell ref="Q172:Q173"/>
    <mergeCell ref="R172:R173"/>
    <mergeCell ref="S172:S173"/>
    <mergeCell ref="T172:T173"/>
    <mergeCell ref="U172:U173"/>
    <mergeCell ref="J172:J173"/>
    <mergeCell ref="K172:K173"/>
    <mergeCell ref="L172:L173"/>
    <mergeCell ref="M172:M173"/>
    <mergeCell ref="N172:N173"/>
    <mergeCell ref="O172:O173"/>
    <mergeCell ref="A172:A176"/>
    <mergeCell ref="B172:B176"/>
    <mergeCell ref="C172:C176"/>
    <mergeCell ref="D172:D176"/>
    <mergeCell ref="E172:E176"/>
    <mergeCell ref="F172:F176"/>
    <mergeCell ref="G172:G176"/>
    <mergeCell ref="P170:P171"/>
    <mergeCell ref="Q170:Q171"/>
    <mergeCell ref="R170:R171"/>
    <mergeCell ref="S170:S171"/>
    <mergeCell ref="T170:T171"/>
    <mergeCell ref="U170:U171"/>
    <mergeCell ref="U167:U168"/>
    <mergeCell ref="V167:V168"/>
    <mergeCell ref="W167:W168"/>
    <mergeCell ref="X167:X168"/>
    <mergeCell ref="J170:J171"/>
    <mergeCell ref="K170:K171"/>
    <mergeCell ref="L170:L171"/>
    <mergeCell ref="M170:M171"/>
    <mergeCell ref="N170:N171"/>
    <mergeCell ref="O170:O171"/>
    <mergeCell ref="O167:O168"/>
    <mergeCell ref="P167:P168"/>
    <mergeCell ref="Q167:Q168"/>
    <mergeCell ref="R167:R168"/>
    <mergeCell ref="S167:S168"/>
    <mergeCell ref="T167:T168"/>
    <mergeCell ref="V172:V173"/>
    <mergeCell ref="W172:W173"/>
    <mergeCell ref="X172:X173"/>
    <mergeCell ref="Q162:Q163"/>
    <mergeCell ref="J162:J163"/>
    <mergeCell ref="K162:K163"/>
    <mergeCell ref="X165:X166"/>
    <mergeCell ref="G167:G171"/>
    <mergeCell ref="J167:J168"/>
    <mergeCell ref="K167:K168"/>
    <mergeCell ref="L167:L168"/>
    <mergeCell ref="M167:M168"/>
    <mergeCell ref="N167:N168"/>
    <mergeCell ref="A167:A171"/>
    <mergeCell ref="B167:B171"/>
    <mergeCell ref="C167:C171"/>
    <mergeCell ref="D167:D171"/>
    <mergeCell ref="E167:E171"/>
    <mergeCell ref="F167:F171"/>
    <mergeCell ref="S165:S166"/>
    <mergeCell ref="T165:T166"/>
    <mergeCell ref="U165:U166"/>
    <mergeCell ref="V165:V166"/>
    <mergeCell ref="W165:W166"/>
    <mergeCell ref="V170:V171"/>
    <mergeCell ref="W170:W171"/>
    <mergeCell ref="A162:A166"/>
    <mergeCell ref="B162:B166"/>
    <mergeCell ref="C162:C166"/>
    <mergeCell ref="D162:D166"/>
    <mergeCell ref="E162:E166"/>
    <mergeCell ref="F162:F166"/>
    <mergeCell ref="G162:G166"/>
    <mergeCell ref="X170:X171"/>
    <mergeCell ref="R157:R158"/>
    <mergeCell ref="S157:S158"/>
    <mergeCell ref="T157:T158"/>
    <mergeCell ref="U157:U158"/>
    <mergeCell ref="V157:V158"/>
    <mergeCell ref="K157:K158"/>
    <mergeCell ref="L157:L158"/>
    <mergeCell ref="M157:M158"/>
    <mergeCell ref="N157:N158"/>
    <mergeCell ref="O157:O158"/>
    <mergeCell ref="P157:P158"/>
    <mergeCell ref="X162:X163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R162:R163"/>
    <mergeCell ref="S162:S163"/>
    <mergeCell ref="T162:T163"/>
    <mergeCell ref="U162:U163"/>
    <mergeCell ref="V162:V163"/>
    <mergeCell ref="W162:W163"/>
    <mergeCell ref="L162:L163"/>
    <mergeCell ref="M162:M163"/>
    <mergeCell ref="N162:N163"/>
    <mergeCell ref="O162:O163"/>
    <mergeCell ref="P162:P163"/>
    <mergeCell ref="A157:A161"/>
    <mergeCell ref="B157:B161"/>
    <mergeCell ref="C157:C161"/>
    <mergeCell ref="D157:D161"/>
    <mergeCell ref="E157:E161"/>
    <mergeCell ref="F157:F161"/>
    <mergeCell ref="G157:G161"/>
    <mergeCell ref="J157:J158"/>
    <mergeCell ref="Q155:Q156"/>
    <mergeCell ref="R155:R156"/>
    <mergeCell ref="S155:S156"/>
    <mergeCell ref="T155:T156"/>
    <mergeCell ref="U155:U156"/>
    <mergeCell ref="V155:V156"/>
    <mergeCell ref="X160:X161"/>
    <mergeCell ref="R160:R161"/>
    <mergeCell ref="S160:S161"/>
    <mergeCell ref="T160:T161"/>
    <mergeCell ref="U160:U161"/>
    <mergeCell ref="V160:V161"/>
    <mergeCell ref="W160:W161"/>
    <mergeCell ref="W157:W158"/>
    <mergeCell ref="X157:X158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Q157:Q158"/>
    <mergeCell ref="X152:X153"/>
    <mergeCell ref="J155:J156"/>
    <mergeCell ref="K155:K156"/>
    <mergeCell ref="L155:L156"/>
    <mergeCell ref="M155:M156"/>
    <mergeCell ref="N155:N156"/>
    <mergeCell ref="O155:O156"/>
    <mergeCell ref="P155:P156"/>
    <mergeCell ref="P152:P153"/>
    <mergeCell ref="Q152:Q153"/>
    <mergeCell ref="R152:R153"/>
    <mergeCell ref="S152:S153"/>
    <mergeCell ref="T152:T153"/>
    <mergeCell ref="U152:U153"/>
    <mergeCell ref="J152:J153"/>
    <mergeCell ref="K152:K153"/>
    <mergeCell ref="L152:L153"/>
    <mergeCell ref="M152:M153"/>
    <mergeCell ref="N152:N153"/>
    <mergeCell ref="O152:O153"/>
    <mergeCell ref="W155:W156"/>
    <mergeCell ref="X155:X156"/>
    <mergeCell ref="X150:X151"/>
    <mergeCell ref="A152:A156"/>
    <mergeCell ref="B152:B156"/>
    <mergeCell ref="C152:C156"/>
    <mergeCell ref="D152:D156"/>
    <mergeCell ref="E152:E156"/>
    <mergeCell ref="F152:F156"/>
    <mergeCell ref="G152:G156"/>
    <mergeCell ref="P150:P151"/>
    <mergeCell ref="Q150:Q151"/>
    <mergeCell ref="R150:R151"/>
    <mergeCell ref="S150:S151"/>
    <mergeCell ref="T150:T151"/>
    <mergeCell ref="U150:U151"/>
    <mergeCell ref="U147:U148"/>
    <mergeCell ref="V147:V148"/>
    <mergeCell ref="W147:W148"/>
    <mergeCell ref="X147:X148"/>
    <mergeCell ref="J150:J151"/>
    <mergeCell ref="K150:K151"/>
    <mergeCell ref="L150:L151"/>
    <mergeCell ref="M150:M151"/>
    <mergeCell ref="N150:N151"/>
    <mergeCell ref="O150:O151"/>
    <mergeCell ref="O147:O148"/>
    <mergeCell ref="P147:P148"/>
    <mergeCell ref="Q147:Q148"/>
    <mergeCell ref="R147:R148"/>
    <mergeCell ref="S147:S148"/>
    <mergeCell ref="T147:T148"/>
    <mergeCell ref="V152:V153"/>
    <mergeCell ref="W152:W153"/>
    <mergeCell ref="O142:O143"/>
    <mergeCell ref="P142:P143"/>
    <mergeCell ref="Q142:Q143"/>
    <mergeCell ref="J142:J143"/>
    <mergeCell ref="K142:K143"/>
    <mergeCell ref="X145:X146"/>
    <mergeCell ref="G147:G151"/>
    <mergeCell ref="J147:J148"/>
    <mergeCell ref="K147:K148"/>
    <mergeCell ref="L147:L148"/>
    <mergeCell ref="M147:M148"/>
    <mergeCell ref="N147:N148"/>
    <mergeCell ref="A147:A151"/>
    <mergeCell ref="B147:B151"/>
    <mergeCell ref="C147:C151"/>
    <mergeCell ref="D147:D151"/>
    <mergeCell ref="E147:E151"/>
    <mergeCell ref="F147:F151"/>
    <mergeCell ref="S145:S146"/>
    <mergeCell ref="T145:T146"/>
    <mergeCell ref="U145:U146"/>
    <mergeCell ref="V145:V146"/>
    <mergeCell ref="W145:W146"/>
    <mergeCell ref="V150:V151"/>
    <mergeCell ref="W150:W151"/>
    <mergeCell ref="A142:A146"/>
    <mergeCell ref="B142:B146"/>
    <mergeCell ref="C142:C146"/>
    <mergeCell ref="D142:D146"/>
    <mergeCell ref="E142:E146"/>
    <mergeCell ref="F142:F146"/>
    <mergeCell ref="G142:G146"/>
    <mergeCell ref="Q140:Q141"/>
    <mergeCell ref="Q137:Q138"/>
    <mergeCell ref="R137:R138"/>
    <mergeCell ref="S137:S138"/>
    <mergeCell ref="T137:T138"/>
    <mergeCell ref="U137:U138"/>
    <mergeCell ref="V137:V138"/>
    <mergeCell ref="K137:K138"/>
    <mergeCell ref="L137:L138"/>
    <mergeCell ref="M137:M138"/>
    <mergeCell ref="N137:N138"/>
    <mergeCell ref="O137:O138"/>
    <mergeCell ref="P137:P138"/>
    <mergeCell ref="X142:X143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R142:R143"/>
    <mergeCell ref="S142:S143"/>
    <mergeCell ref="T142:T143"/>
    <mergeCell ref="U142:U143"/>
    <mergeCell ref="V142:V143"/>
    <mergeCell ref="W142:W143"/>
    <mergeCell ref="L142:L143"/>
    <mergeCell ref="M142:M143"/>
    <mergeCell ref="N142:N143"/>
    <mergeCell ref="W135:W136"/>
    <mergeCell ref="X135:X136"/>
    <mergeCell ref="A137:A141"/>
    <mergeCell ref="B137:B141"/>
    <mergeCell ref="C137:C141"/>
    <mergeCell ref="D137:D141"/>
    <mergeCell ref="E137:E141"/>
    <mergeCell ref="F137:F141"/>
    <mergeCell ref="G137:G141"/>
    <mergeCell ref="J137:J138"/>
    <mergeCell ref="Q135:Q136"/>
    <mergeCell ref="R135:R136"/>
    <mergeCell ref="S135:S136"/>
    <mergeCell ref="T135:T136"/>
    <mergeCell ref="U135:U136"/>
    <mergeCell ref="V135:V136"/>
    <mergeCell ref="X140:X141"/>
    <mergeCell ref="R140:R141"/>
    <mergeCell ref="S140:S141"/>
    <mergeCell ref="T140:T141"/>
    <mergeCell ref="U140:U141"/>
    <mergeCell ref="V140:V141"/>
    <mergeCell ref="W140:W141"/>
    <mergeCell ref="W137:W138"/>
    <mergeCell ref="X137:X138"/>
    <mergeCell ref="J140:J141"/>
    <mergeCell ref="K140:K141"/>
    <mergeCell ref="L140:L141"/>
    <mergeCell ref="M140:M141"/>
    <mergeCell ref="N140:N141"/>
    <mergeCell ref="O140:O141"/>
    <mergeCell ref="P140:P141"/>
    <mergeCell ref="J135:J136"/>
    <mergeCell ref="K135:K136"/>
    <mergeCell ref="L135:L136"/>
    <mergeCell ref="M135:M136"/>
    <mergeCell ref="N135:N136"/>
    <mergeCell ref="O135:O136"/>
    <mergeCell ref="P135:P136"/>
    <mergeCell ref="P132:P133"/>
    <mergeCell ref="Q132:Q133"/>
    <mergeCell ref="R132:R133"/>
    <mergeCell ref="S132:S133"/>
    <mergeCell ref="T132:T133"/>
    <mergeCell ref="U132:U133"/>
    <mergeCell ref="J132:J133"/>
    <mergeCell ref="K132:K133"/>
    <mergeCell ref="L132:L133"/>
    <mergeCell ref="M132:M133"/>
    <mergeCell ref="N132:N133"/>
    <mergeCell ref="O132:O133"/>
    <mergeCell ref="A132:A136"/>
    <mergeCell ref="B132:B136"/>
    <mergeCell ref="C132:C136"/>
    <mergeCell ref="D132:D136"/>
    <mergeCell ref="E132:E136"/>
    <mergeCell ref="F132:F136"/>
    <mergeCell ref="G132:G136"/>
    <mergeCell ref="P130:P131"/>
    <mergeCell ref="Q130:Q131"/>
    <mergeCell ref="R130:R131"/>
    <mergeCell ref="S130:S131"/>
    <mergeCell ref="T130:T131"/>
    <mergeCell ref="U130:U131"/>
    <mergeCell ref="U127:U128"/>
    <mergeCell ref="V127:V128"/>
    <mergeCell ref="W127:W128"/>
    <mergeCell ref="X127:X128"/>
    <mergeCell ref="J130:J131"/>
    <mergeCell ref="K130:K131"/>
    <mergeCell ref="L130:L131"/>
    <mergeCell ref="M130:M131"/>
    <mergeCell ref="N130:N131"/>
    <mergeCell ref="O130:O131"/>
    <mergeCell ref="O127:O128"/>
    <mergeCell ref="P127:P128"/>
    <mergeCell ref="Q127:Q128"/>
    <mergeCell ref="R127:R128"/>
    <mergeCell ref="S127:S128"/>
    <mergeCell ref="T127:T128"/>
    <mergeCell ref="V132:V133"/>
    <mergeCell ref="W132:W133"/>
    <mergeCell ref="X132:X133"/>
    <mergeCell ref="Q122:Q123"/>
    <mergeCell ref="J122:J123"/>
    <mergeCell ref="K122:K123"/>
    <mergeCell ref="X125:X126"/>
    <mergeCell ref="G127:G131"/>
    <mergeCell ref="J127:J128"/>
    <mergeCell ref="K127:K128"/>
    <mergeCell ref="L127:L128"/>
    <mergeCell ref="M127:M128"/>
    <mergeCell ref="N127:N128"/>
    <mergeCell ref="A127:A131"/>
    <mergeCell ref="B127:B131"/>
    <mergeCell ref="C127:C131"/>
    <mergeCell ref="D127:D131"/>
    <mergeCell ref="E127:E131"/>
    <mergeCell ref="F127:F131"/>
    <mergeCell ref="S125:S126"/>
    <mergeCell ref="T125:T126"/>
    <mergeCell ref="U125:U126"/>
    <mergeCell ref="V125:V126"/>
    <mergeCell ref="W125:W126"/>
    <mergeCell ref="V130:V131"/>
    <mergeCell ref="W130:W131"/>
    <mergeCell ref="A122:A126"/>
    <mergeCell ref="B122:B126"/>
    <mergeCell ref="C122:C126"/>
    <mergeCell ref="D122:D126"/>
    <mergeCell ref="E122:E126"/>
    <mergeCell ref="F122:F126"/>
    <mergeCell ref="G122:G126"/>
    <mergeCell ref="X130:X131"/>
    <mergeCell ref="R117:R118"/>
    <mergeCell ref="S117:S118"/>
    <mergeCell ref="T117:T118"/>
    <mergeCell ref="U117:U118"/>
    <mergeCell ref="V117:V118"/>
    <mergeCell ref="K117:K118"/>
    <mergeCell ref="L117:L118"/>
    <mergeCell ref="M117:M118"/>
    <mergeCell ref="N117:N118"/>
    <mergeCell ref="O117:O118"/>
    <mergeCell ref="P117:P118"/>
    <mergeCell ref="X122:X123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R122:R123"/>
    <mergeCell ref="S122:S123"/>
    <mergeCell ref="T122:T123"/>
    <mergeCell ref="U122:U123"/>
    <mergeCell ref="V122:V123"/>
    <mergeCell ref="W122:W123"/>
    <mergeCell ref="L122:L123"/>
    <mergeCell ref="M122:M123"/>
    <mergeCell ref="N122:N123"/>
    <mergeCell ref="O122:O123"/>
    <mergeCell ref="P122:P123"/>
    <mergeCell ref="A117:A121"/>
    <mergeCell ref="B117:B121"/>
    <mergeCell ref="C117:C121"/>
    <mergeCell ref="D117:D121"/>
    <mergeCell ref="E117:E121"/>
    <mergeCell ref="F117:F121"/>
    <mergeCell ref="G117:G121"/>
    <mergeCell ref="J117:J118"/>
    <mergeCell ref="Q115:Q116"/>
    <mergeCell ref="R115:R116"/>
    <mergeCell ref="S115:S116"/>
    <mergeCell ref="T115:T116"/>
    <mergeCell ref="U115:U116"/>
    <mergeCell ref="V115:V116"/>
    <mergeCell ref="X120:X121"/>
    <mergeCell ref="R120:R121"/>
    <mergeCell ref="S120:S121"/>
    <mergeCell ref="T120:T121"/>
    <mergeCell ref="U120:U121"/>
    <mergeCell ref="V120:V121"/>
    <mergeCell ref="W120:W121"/>
    <mergeCell ref="W117:W118"/>
    <mergeCell ref="X117:X118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Q117:Q118"/>
    <mergeCell ref="X112:X113"/>
    <mergeCell ref="J115:J116"/>
    <mergeCell ref="K115:K116"/>
    <mergeCell ref="L115:L116"/>
    <mergeCell ref="M115:M116"/>
    <mergeCell ref="N115:N116"/>
    <mergeCell ref="O115:O116"/>
    <mergeCell ref="P115:P116"/>
    <mergeCell ref="P112:P113"/>
    <mergeCell ref="Q112:Q113"/>
    <mergeCell ref="R112:R113"/>
    <mergeCell ref="S112:S113"/>
    <mergeCell ref="T112:T113"/>
    <mergeCell ref="U112:U113"/>
    <mergeCell ref="J112:J113"/>
    <mergeCell ref="K112:K113"/>
    <mergeCell ref="L112:L113"/>
    <mergeCell ref="M112:M113"/>
    <mergeCell ref="N112:N113"/>
    <mergeCell ref="O112:O113"/>
    <mergeCell ref="W115:W116"/>
    <mergeCell ref="X115:X116"/>
    <mergeCell ref="X110:X111"/>
    <mergeCell ref="A112:A116"/>
    <mergeCell ref="B112:B116"/>
    <mergeCell ref="C112:C116"/>
    <mergeCell ref="D112:D116"/>
    <mergeCell ref="E112:E116"/>
    <mergeCell ref="F112:F116"/>
    <mergeCell ref="G112:G116"/>
    <mergeCell ref="P110:P111"/>
    <mergeCell ref="Q110:Q111"/>
    <mergeCell ref="R110:R111"/>
    <mergeCell ref="S110:S111"/>
    <mergeCell ref="T110:T111"/>
    <mergeCell ref="U110:U111"/>
    <mergeCell ref="U107:U108"/>
    <mergeCell ref="V107:V108"/>
    <mergeCell ref="W107:W108"/>
    <mergeCell ref="X107:X108"/>
    <mergeCell ref="J110:J111"/>
    <mergeCell ref="K110:K111"/>
    <mergeCell ref="L110:L111"/>
    <mergeCell ref="M110:M111"/>
    <mergeCell ref="N110:N111"/>
    <mergeCell ref="O110:O111"/>
    <mergeCell ref="O107:O108"/>
    <mergeCell ref="P107:P108"/>
    <mergeCell ref="Q107:Q108"/>
    <mergeCell ref="R107:R108"/>
    <mergeCell ref="S107:S108"/>
    <mergeCell ref="T107:T108"/>
    <mergeCell ref="V112:V113"/>
    <mergeCell ref="W112:W113"/>
    <mergeCell ref="O102:O103"/>
    <mergeCell ref="P102:P103"/>
    <mergeCell ref="Q102:Q103"/>
    <mergeCell ref="J102:J103"/>
    <mergeCell ref="K102:K103"/>
    <mergeCell ref="X105:X106"/>
    <mergeCell ref="G107:G111"/>
    <mergeCell ref="J107:J108"/>
    <mergeCell ref="K107:K108"/>
    <mergeCell ref="L107:L108"/>
    <mergeCell ref="M107:M108"/>
    <mergeCell ref="N107:N108"/>
    <mergeCell ref="A107:A111"/>
    <mergeCell ref="B107:B111"/>
    <mergeCell ref="C107:C111"/>
    <mergeCell ref="D107:D111"/>
    <mergeCell ref="E107:E111"/>
    <mergeCell ref="F107:F111"/>
    <mergeCell ref="S105:S106"/>
    <mergeCell ref="T105:T106"/>
    <mergeCell ref="U105:U106"/>
    <mergeCell ref="V105:V106"/>
    <mergeCell ref="W105:W106"/>
    <mergeCell ref="V110:V111"/>
    <mergeCell ref="W110:W111"/>
    <mergeCell ref="A102:A106"/>
    <mergeCell ref="B102:B106"/>
    <mergeCell ref="C102:C106"/>
    <mergeCell ref="D102:D106"/>
    <mergeCell ref="E102:E106"/>
    <mergeCell ref="F102:F106"/>
    <mergeCell ref="G102:G106"/>
    <mergeCell ref="Q100:Q101"/>
    <mergeCell ref="Q97:Q98"/>
    <mergeCell ref="R97:R98"/>
    <mergeCell ref="S97:S98"/>
    <mergeCell ref="T97:T98"/>
    <mergeCell ref="U97:U98"/>
    <mergeCell ref="V97:V98"/>
    <mergeCell ref="K97:K98"/>
    <mergeCell ref="L97:L98"/>
    <mergeCell ref="M97:M98"/>
    <mergeCell ref="N97:N98"/>
    <mergeCell ref="O97:O98"/>
    <mergeCell ref="P97:P98"/>
    <mergeCell ref="X102:X103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R102:R103"/>
    <mergeCell ref="S102:S103"/>
    <mergeCell ref="T102:T103"/>
    <mergeCell ref="U102:U103"/>
    <mergeCell ref="V102:V103"/>
    <mergeCell ref="W102:W103"/>
    <mergeCell ref="L102:L103"/>
    <mergeCell ref="M102:M103"/>
    <mergeCell ref="N102:N103"/>
    <mergeCell ref="W95:W96"/>
    <mergeCell ref="X95:X96"/>
    <mergeCell ref="A97:A101"/>
    <mergeCell ref="B97:B101"/>
    <mergeCell ref="C97:C101"/>
    <mergeCell ref="D97:D101"/>
    <mergeCell ref="E97:E101"/>
    <mergeCell ref="F97:F101"/>
    <mergeCell ref="G97:G101"/>
    <mergeCell ref="J97:J98"/>
    <mergeCell ref="Q95:Q96"/>
    <mergeCell ref="R95:R96"/>
    <mergeCell ref="S95:S96"/>
    <mergeCell ref="T95:T96"/>
    <mergeCell ref="U95:U96"/>
    <mergeCell ref="V95:V96"/>
    <mergeCell ref="X100:X101"/>
    <mergeCell ref="R100:R101"/>
    <mergeCell ref="S100:S101"/>
    <mergeCell ref="T100:T101"/>
    <mergeCell ref="U100:U101"/>
    <mergeCell ref="V100:V101"/>
    <mergeCell ref="W100:W101"/>
    <mergeCell ref="W97:W98"/>
    <mergeCell ref="X97:X98"/>
    <mergeCell ref="J100:J101"/>
    <mergeCell ref="K100:K101"/>
    <mergeCell ref="L100:L101"/>
    <mergeCell ref="M100:M101"/>
    <mergeCell ref="N100:N101"/>
    <mergeCell ref="O100:O101"/>
    <mergeCell ref="P100:P101"/>
    <mergeCell ref="J95:J96"/>
    <mergeCell ref="K95:K96"/>
    <mergeCell ref="L95:L96"/>
    <mergeCell ref="M95:M96"/>
    <mergeCell ref="N95:N96"/>
    <mergeCell ref="O95:O96"/>
    <mergeCell ref="P95:P96"/>
    <mergeCell ref="P92:P93"/>
    <mergeCell ref="Q92:Q93"/>
    <mergeCell ref="R92:R93"/>
    <mergeCell ref="S92:S93"/>
    <mergeCell ref="T92:T93"/>
    <mergeCell ref="U92:U93"/>
    <mergeCell ref="J92:J93"/>
    <mergeCell ref="K92:K93"/>
    <mergeCell ref="L92:L93"/>
    <mergeCell ref="M92:M93"/>
    <mergeCell ref="N92:N93"/>
    <mergeCell ref="O92:O93"/>
    <mergeCell ref="A92:A96"/>
    <mergeCell ref="B92:B96"/>
    <mergeCell ref="C92:C96"/>
    <mergeCell ref="D92:D96"/>
    <mergeCell ref="E92:E96"/>
    <mergeCell ref="F92:F96"/>
    <mergeCell ref="G92:G96"/>
    <mergeCell ref="P90:P91"/>
    <mergeCell ref="Q90:Q91"/>
    <mergeCell ref="R90:R91"/>
    <mergeCell ref="S90:S91"/>
    <mergeCell ref="T90:T91"/>
    <mergeCell ref="U90:U91"/>
    <mergeCell ref="U87:U88"/>
    <mergeCell ref="V87:V88"/>
    <mergeCell ref="W87:W88"/>
    <mergeCell ref="X87:X88"/>
    <mergeCell ref="J90:J91"/>
    <mergeCell ref="K90:K91"/>
    <mergeCell ref="L90:L91"/>
    <mergeCell ref="M90:M91"/>
    <mergeCell ref="N90:N91"/>
    <mergeCell ref="O90:O91"/>
    <mergeCell ref="O87:O88"/>
    <mergeCell ref="P87:P88"/>
    <mergeCell ref="Q87:Q88"/>
    <mergeCell ref="R87:R88"/>
    <mergeCell ref="S87:S88"/>
    <mergeCell ref="T87:T88"/>
    <mergeCell ref="V92:V93"/>
    <mergeCell ref="W92:W93"/>
    <mergeCell ref="X92:X93"/>
    <mergeCell ref="Q82:Q83"/>
    <mergeCell ref="J82:J83"/>
    <mergeCell ref="K82:K83"/>
    <mergeCell ref="X85:X86"/>
    <mergeCell ref="G87:G91"/>
    <mergeCell ref="J87:J88"/>
    <mergeCell ref="K87:K88"/>
    <mergeCell ref="L87:L88"/>
    <mergeCell ref="M87:M88"/>
    <mergeCell ref="N87:N88"/>
    <mergeCell ref="A87:A91"/>
    <mergeCell ref="B87:B91"/>
    <mergeCell ref="C87:C91"/>
    <mergeCell ref="D87:D91"/>
    <mergeCell ref="E87:E91"/>
    <mergeCell ref="F87:F91"/>
    <mergeCell ref="S85:S86"/>
    <mergeCell ref="T85:T86"/>
    <mergeCell ref="U85:U86"/>
    <mergeCell ref="V85:V86"/>
    <mergeCell ref="W85:W86"/>
    <mergeCell ref="V90:V91"/>
    <mergeCell ref="W90:W91"/>
    <mergeCell ref="A82:A86"/>
    <mergeCell ref="B82:B86"/>
    <mergeCell ref="C82:C86"/>
    <mergeCell ref="D82:D86"/>
    <mergeCell ref="E82:E86"/>
    <mergeCell ref="F82:F86"/>
    <mergeCell ref="G82:G86"/>
    <mergeCell ref="X90:X91"/>
    <mergeCell ref="R77:R78"/>
    <mergeCell ref="S77:S78"/>
    <mergeCell ref="T77:T78"/>
    <mergeCell ref="U77:U78"/>
    <mergeCell ref="V77:V78"/>
    <mergeCell ref="K77:K78"/>
    <mergeCell ref="L77:L78"/>
    <mergeCell ref="M77:M78"/>
    <mergeCell ref="N77:N78"/>
    <mergeCell ref="O77:O78"/>
    <mergeCell ref="P77:P78"/>
    <mergeCell ref="X82:X83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R82:R83"/>
    <mergeCell ref="S82:S83"/>
    <mergeCell ref="T82:T83"/>
    <mergeCell ref="U82:U83"/>
    <mergeCell ref="V82:V83"/>
    <mergeCell ref="W82:W83"/>
    <mergeCell ref="L82:L83"/>
    <mergeCell ref="M82:M83"/>
    <mergeCell ref="N82:N83"/>
    <mergeCell ref="O82:O83"/>
    <mergeCell ref="P82:P83"/>
    <mergeCell ref="A77:A81"/>
    <mergeCell ref="B77:B81"/>
    <mergeCell ref="C77:C81"/>
    <mergeCell ref="D77:D81"/>
    <mergeCell ref="E77:E81"/>
    <mergeCell ref="F77:F81"/>
    <mergeCell ref="G77:G81"/>
    <mergeCell ref="J77:J78"/>
    <mergeCell ref="Q75:Q76"/>
    <mergeCell ref="R75:R76"/>
    <mergeCell ref="S75:S76"/>
    <mergeCell ref="T75:T76"/>
    <mergeCell ref="U75:U76"/>
    <mergeCell ref="V75:V76"/>
    <mergeCell ref="X80:X81"/>
    <mergeCell ref="R80:R81"/>
    <mergeCell ref="S80:S81"/>
    <mergeCell ref="T80:T81"/>
    <mergeCell ref="U80:U81"/>
    <mergeCell ref="V80:V81"/>
    <mergeCell ref="W80:W81"/>
    <mergeCell ref="W77:W78"/>
    <mergeCell ref="X77:X78"/>
    <mergeCell ref="J80:J81"/>
    <mergeCell ref="K80:K81"/>
    <mergeCell ref="L80:L81"/>
    <mergeCell ref="M80:M81"/>
    <mergeCell ref="N80:N81"/>
    <mergeCell ref="O80:O81"/>
    <mergeCell ref="P80:P81"/>
    <mergeCell ref="Q80:Q81"/>
    <mergeCell ref="Q77:Q78"/>
    <mergeCell ref="X72:X73"/>
    <mergeCell ref="J75:J76"/>
    <mergeCell ref="K75:K76"/>
    <mergeCell ref="L75:L76"/>
    <mergeCell ref="M75:M76"/>
    <mergeCell ref="N75:N76"/>
    <mergeCell ref="O75:O76"/>
    <mergeCell ref="P75:P76"/>
    <mergeCell ref="P72:P73"/>
    <mergeCell ref="Q72:Q73"/>
    <mergeCell ref="R72:R73"/>
    <mergeCell ref="S72:S73"/>
    <mergeCell ref="T72:T73"/>
    <mergeCell ref="U72:U73"/>
    <mergeCell ref="J72:J73"/>
    <mergeCell ref="K72:K73"/>
    <mergeCell ref="L72:L73"/>
    <mergeCell ref="M72:M73"/>
    <mergeCell ref="N72:N73"/>
    <mergeCell ref="O72:O73"/>
    <mergeCell ref="W75:W76"/>
    <mergeCell ref="X75:X76"/>
    <mergeCell ref="X70:X71"/>
    <mergeCell ref="A72:A76"/>
    <mergeCell ref="B72:B76"/>
    <mergeCell ref="C72:C76"/>
    <mergeCell ref="D72:D76"/>
    <mergeCell ref="E72:E76"/>
    <mergeCell ref="F72:F76"/>
    <mergeCell ref="G72:G76"/>
    <mergeCell ref="P70:P71"/>
    <mergeCell ref="Q70:Q71"/>
    <mergeCell ref="R70:R71"/>
    <mergeCell ref="S70:S71"/>
    <mergeCell ref="T70:T71"/>
    <mergeCell ref="U70:U71"/>
    <mergeCell ref="U67:U68"/>
    <mergeCell ref="V67:V68"/>
    <mergeCell ref="W67:W68"/>
    <mergeCell ref="X67:X68"/>
    <mergeCell ref="J70:J71"/>
    <mergeCell ref="K70:K71"/>
    <mergeCell ref="L70:L71"/>
    <mergeCell ref="M70:M71"/>
    <mergeCell ref="N70:N71"/>
    <mergeCell ref="O70:O71"/>
    <mergeCell ref="O67:O68"/>
    <mergeCell ref="P67:P68"/>
    <mergeCell ref="Q67:Q68"/>
    <mergeCell ref="R67:R68"/>
    <mergeCell ref="S67:S68"/>
    <mergeCell ref="T67:T68"/>
    <mergeCell ref="V72:V73"/>
    <mergeCell ref="W72:W73"/>
    <mergeCell ref="O62:O63"/>
    <mergeCell ref="P62:P63"/>
    <mergeCell ref="Q62:Q63"/>
    <mergeCell ref="J62:J63"/>
    <mergeCell ref="K62:K63"/>
    <mergeCell ref="X65:X66"/>
    <mergeCell ref="G67:G71"/>
    <mergeCell ref="J67:J68"/>
    <mergeCell ref="K67:K68"/>
    <mergeCell ref="L67:L68"/>
    <mergeCell ref="M67:M68"/>
    <mergeCell ref="N67:N68"/>
    <mergeCell ref="A67:A71"/>
    <mergeCell ref="B67:B71"/>
    <mergeCell ref="C67:C71"/>
    <mergeCell ref="D67:D71"/>
    <mergeCell ref="E67:E71"/>
    <mergeCell ref="F67:F71"/>
    <mergeCell ref="S65:S66"/>
    <mergeCell ref="T65:T66"/>
    <mergeCell ref="U65:U66"/>
    <mergeCell ref="V65:V66"/>
    <mergeCell ref="W65:W66"/>
    <mergeCell ref="V70:V71"/>
    <mergeCell ref="W70:W71"/>
    <mergeCell ref="A62:A66"/>
    <mergeCell ref="B62:B66"/>
    <mergeCell ref="C62:C66"/>
    <mergeCell ref="D62:D66"/>
    <mergeCell ref="E62:E66"/>
    <mergeCell ref="F62:F66"/>
    <mergeCell ref="G62:G66"/>
    <mergeCell ref="Q60:Q61"/>
    <mergeCell ref="Q57:Q58"/>
    <mergeCell ref="R57:R58"/>
    <mergeCell ref="S57:S58"/>
    <mergeCell ref="T57:T58"/>
    <mergeCell ref="U57:U58"/>
    <mergeCell ref="V57:V58"/>
    <mergeCell ref="K57:K58"/>
    <mergeCell ref="L57:L58"/>
    <mergeCell ref="M57:M58"/>
    <mergeCell ref="N57:N58"/>
    <mergeCell ref="O57:O58"/>
    <mergeCell ref="P57:P58"/>
    <mergeCell ref="X62:X63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R62:R63"/>
    <mergeCell ref="S62:S63"/>
    <mergeCell ref="T62:T63"/>
    <mergeCell ref="U62:U63"/>
    <mergeCell ref="V62:V63"/>
    <mergeCell ref="W62:W63"/>
    <mergeCell ref="L62:L63"/>
    <mergeCell ref="M62:M63"/>
    <mergeCell ref="N62:N63"/>
    <mergeCell ref="W55:W56"/>
    <mergeCell ref="X55:X56"/>
    <mergeCell ref="A57:A61"/>
    <mergeCell ref="B57:B61"/>
    <mergeCell ref="C57:C61"/>
    <mergeCell ref="D57:D61"/>
    <mergeCell ref="E57:E61"/>
    <mergeCell ref="F57:F61"/>
    <mergeCell ref="G57:G61"/>
    <mergeCell ref="J57:J58"/>
    <mergeCell ref="Q55:Q56"/>
    <mergeCell ref="R55:R56"/>
    <mergeCell ref="S55:S56"/>
    <mergeCell ref="T55:T56"/>
    <mergeCell ref="U55:U56"/>
    <mergeCell ref="V55:V56"/>
    <mergeCell ref="X60:X61"/>
    <mergeCell ref="R60:R61"/>
    <mergeCell ref="S60:S61"/>
    <mergeCell ref="T60:T61"/>
    <mergeCell ref="U60:U61"/>
    <mergeCell ref="V60:V61"/>
    <mergeCell ref="W60:W61"/>
    <mergeCell ref="W57:W58"/>
    <mergeCell ref="X57:X58"/>
    <mergeCell ref="J60:J61"/>
    <mergeCell ref="K60:K61"/>
    <mergeCell ref="L60:L61"/>
    <mergeCell ref="M60:M61"/>
    <mergeCell ref="N60:N61"/>
    <mergeCell ref="O60:O61"/>
    <mergeCell ref="P60:P61"/>
    <mergeCell ref="J55:J56"/>
    <mergeCell ref="K55:K56"/>
    <mergeCell ref="L55:L56"/>
    <mergeCell ref="M55:M56"/>
    <mergeCell ref="N55:N56"/>
    <mergeCell ref="O55:O56"/>
    <mergeCell ref="P55:P56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A52:A56"/>
    <mergeCell ref="B52:B56"/>
    <mergeCell ref="C52:C56"/>
    <mergeCell ref="D52:D56"/>
    <mergeCell ref="E52:E56"/>
    <mergeCell ref="F52:F56"/>
    <mergeCell ref="G52:G56"/>
    <mergeCell ref="P50:P51"/>
    <mergeCell ref="Q50:Q51"/>
    <mergeCell ref="R50:R51"/>
    <mergeCell ref="S50:S51"/>
    <mergeCell ref="T50:T51"/>
    <mergeCell ref="U50:U51"/>
    <mergeCell ref="U47:U48"/>
    <mergeCell ref="V47:V48"/>
    <mergeCell ref="W47:W48"/>
    <mergeCell ref="X47:X48"/>
    <mergeCell ref="J50:J51"/>
    <mergeCell ref="K50:K51"/>
    <mergeCell ref="L50:L51"/>
    <mergeCell ref="M50:M51"/>
    <mergeCell ref="N50:N51"/>
    <mergeCell ref="O50:O51"/>
    <mergeCell ref="O47:O48"/>
    <mergeCell ref="P47:P48"/>
    <mergeCell ref="Q47:Q48"/>
    <mergeCell ref="R47:R48"/>
    <mergeCell ref="S47:S48"/>
    <mergeCell ref="T47:T48"/>
    <mergeCell ref="V52:V53"/>
    <mergeCell ref="W52:W53"/>
    <mergeCell ref="X52:X53"/>
    <mergeCell ref="Q42:Q43"/>
    <mergeCell ref="J42:J43"/>
    <mergeCell ref="K42:K43"/>
    <mergeCell ref="X45:X46"/>
    <mergeCell ref="G47:G51"/>
    <mergeCell ref="J47:J48"/>
    <mergeCell ref="K47:K48"/>
    <mergeCell ref="L47:L48"/>
    <mergeCell ref="M47:M48"/>
    <mergeCell ref="N47:N48"/>
    <mergeCell ref="A47:A51"/>
    <mergeCell ref="B47:B51"/>
    <mergeCell ref="C47:C51"/>
    <mergeCell ref="D47:D51"/>
    <mergeCell ref="E47:E51"/>
    <mergeCell ref="F47:F51"/>
    <mergeCell ref="S45:S46"/>
    <mergeCell ref="T45:T46"/>
    <mergeCell ref="U45:U46"/>
    <mergeCell ref="V45:V46"/>
    <mergeCell ref="W45:W46"/>
    <mergeCell ref="V50:V51"/>
    <mergeCell ref="W50:W51"/>
    <mergeCell ref="A42:A46"/>
    <mergeCell ref="B42:B46"/>
    <mergeCell ref="C42:C46"/>
    <mergeCell ref="D42:D46"/>
    <mergeCell ref="E42:E46"/>
    <mergeCell ref="F42:F46"/>
    <mergeCell ref="G42:G46"/>
    <mergeCell ref="X50:X51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P37:P38"/>
    <mergeCell ref="X42:X43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R42:R43"/>
    <mergeCell ref="S42:S43"/>
    <mergeCell ref="T42:T43"/>
    <mergeCell ref="U42:U43"/>
    <mergeCell ref="V42:V43"/>
    <mergeCell ref="W42:W43"/>
    <mergeCell ref="L42:L43"/>
    <mergeCell ref="M42:M43"/>
    <mergeCell ref="N42:N43"/>
    <mergeCell ref="O42:O43"/>
    <mergeCell ref="P42:P43"/>
    <mergeCell ref="A37:A41"/>
    <mergeCell ref="B37:B41"/>
    <mergeCell ref="C37:C41"/>
    <mergeCell ref="D37:D41"/>
    <mergeCell ref="E37:E41"/>
    <mergeCell ref="F37:F41"/>
    <mergeCell ref="G37:G41"/>
    <mergeCell ref="J37:J38"/>
    <mergeCell ref="Q35:Q36"/>
    <mergeCell ref="R35:R36"/>
    <mergeCell ref="S35:S36"/>
    <mergeCell ref="T35:T36"/>
    <mergeCell ref="U35:U36"/>
    <mergeCell ref="V35:V36"/>
    <mergeCell ref="X40:X41"/>
    <mergeCell ref="R40:R41"/>
    <mergeCell ref="S40:S41"/>
    <mergeCell ref="T40:T41"/>
    <mergeCell ref="U40:U41"/>
    <mergeCell ref="V40:V41"/>
    <mergeCell ref="W40:W41"/>
    <mergeCell ref="W37:W38"/>
    <mergeCell ref="X37:X38"/>
    <mergeCell ref="J40:J41"/>
    <mergeCell ref="K40:K41"/>
    <mergeCell ref="L40:L41"/>
    <mergeCell ref="M40:M41"/>
    <mergeCell ref="N40:N41"/>
    <mergeCell ref="O40:O41"/>
    <mergeCell ref="P40:P41"/>
    <mergeCell ref="Q40:Q41"/>
    <mergeCell ref="Q37:Q38"/>
    <mergeCell ref="X32:X33"/>
    <mergeCell ref="J35:J36"/>
    <mergeCell ref="K35:K36"/>
    <mergeCell ref="L35:L36"/>
    <mergeCell ref="M35:M36"/>
    <mergeCell ref="N35:N36"/>
    <mergeCell ref="O35:O36"/>
    <mergeCell ref="P35:P36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W35:W36"/>
    <mergeCell ref="X35:X36"/>
    <mergeCell ref="X30:X31"/>
    <mergeCell ref="A32:A36"/>
    <mergeCell ref="B32:B36"/>
    <mergeCell ref="C32:C36"/>
    <mergeCell ref="D32:D36"/>
    <mergeCell ref="E32:E36"/>
    <mergeCell ref="F32:F36"/>
    <mergeCell ref="G32:G36"/>
    <mergeCell ref="P30:P31"/>
    <mergeCell ref="Q30:Q31"/>
    <mergeCell ref="R30:R31"/>
    <mergeCell ref="S30:S31"/>
    <mergeCell ref="T30:T31"/>
    <mergeCell ref="U30:U31"/>
    <mergeCell ref="U27:U28"/>
    <mergeCell ref="V27:V28"/>
    <mergeCell ref="W27:W28"/>
    <mergeCell ref="X27:X28"/>
    <mergeCell ref="J30:J31"/>
    <mergeCell ref="K30:K31"/>
    <mergeCell ref="L30:L31"/>
    <mergeCell ref="M30:M31"/>
    <mergeCell ref="N30:N31"/>
    <mergeCell ref="O30:O31"/>
    <mergeCell ref="O27:O28"/>
    <mergeCell ref="P27:P28"/>
    <mergeCell ref="Q27:Q28"/>
    <mergeCell ref="R27:R28"/>
    <mergeCell ref="S27:S28"/>
    <mergeCell ref="T27:T28"/>
    <mergeCell ref="V32:V33"/>
    <mergeCell ref="W32:W33"/>
    <mergeCell ref="G27:G31"/>
    <mergeCell ref="J27:J28"/>
    <mergeCell ref="K27:K28"/>
    <mergeCell ref="L27:L28"/>
    <mergeCell ref="M27:M28"/>
    <mergeCell ref="N27:N28"/>
    <mergeCell ref="A27:A31"/>
    <mergeCell ref="B27:B31"/>
    <mergeCell ref="C27:C31"/>
    <mergeCell ref="D27:D31"/>
    <mergeCell ref="E27:E31"/>
    <mergeCell ref="F27:F31"/>
    <mergeCell ref="S25:S26"/>
    <mergeCell ref="T25:T26"/>
    <mergeCell ref="U25:U26"/>
    <mergeCell ref="V25:V26"/>
    <mergeCell ref="W25:W26"/>
    <mergeCell ref="V30:V31"/>
    <mergeCell ref="W30:W31"/>
    <mergeCell ref="A22:A26"/>
    <mergeCell ref="B22:B26"/>
    <mergeCell ref="C22:C26"/>
    <mergeCell ref="D22:D26"/>
    <mergeCell ref="E22:E26"/>
    <mergeCell ref="F22:F26"/>
    <mergeCell ref="G22:G26"/>
    <mergeCell ref="Q20:Q21"/>
    <mergeCell ref="Q17:Q18"/>
    <mergeCell ref="R17:R18"/>
    <mergeCell ref="S17:S18"/>
    <mergeCell ref="T17:T18"/>
    <mergeCell ref="U17:U18"/>
    <mergeCell ref="V17:V18"/>
    <mergeCell ref="X22:X23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J22:J23"/>
    <mergeCell ref="K22:K23"/>
    <mergeCell ref="X25:X26"/>
    <mergeCell ref="M11:M12"/>
    <mergeCell ref="N11:N12"/>
    <mergeCell ref="P11:P12"/>
    <mergeCell ref="Q11:Q12"/>
    <mergeCell ref="R11:R12"/>
    <mergeCell ref="S11:S12"/>
    <mergeCell ref="J7:J12"/>
    <mergeCell ref="K7:X8"/>
    <mergeCell ref="K9:K12"/>
    <mergeCell ref="L9:N10"/>
    <mergeCell ref="X20:X21"/>
    <mergeCell ref="O9:O12"/>
    <mergeCell ref="P9:X9"/>
    <mergeCell ref="P10:R10"/>
    <mergeCell ref="S10:U10"/>
    <mergeCell ref="V10:X10"/>
    <mergeCell ref="L11:L12"/>
    <mergeCell ref="R20:R21"/>
    <mergeCell ref="S20:S21"/>
    <mergeCell ref="T20:T21"/>
    <mergeCell ref="U20:U21"/>
    <mergeCell ref="V20:V21"/>
    <mergeCell ref="W20:W21"/>
    <mergeCell ref="W17:W18"/>
    <mergeCell ref="X17:X18"/>
    <mergeCell ref="J20:J21"/>
    <mergeCell ref="K20:K21"/>
    <mergeCell ref="L20:L21"/>
    <mergeCell ref="M20:M21"/>
    <mergeCell ref="N20:N21"/>
    <mergeCell ref="O20:O21"/>
    <mergeCell ref="P20:P21"/>
    <mergeCell ref="A5:W5"/>
    <mergeCell ref="A7:A12"/>
    <mergeCell ref="B7:B12"/>
    <mergeCell ref="C7:C12"/>
    <mergeCell ref="D7:D12"/>
    <mergeCell ref="E7:E12"/>
    <mergeCell ref="F7:F12"/>
    <mergeCell ref="G7:G12"/>
    <mergeCell ref="H7:H8"/>
    <mergeCell ref="I7:I8"/>
    <mergeCell ref="K17:K18"/>
    <mergeCell ref="L17:L18"/>
    <mergeCell ref="M17:M18"/>
    <mergeCell ref="N17:N18"/>
    <mergeCell ref="O17:O18"/>
    <mergeCell ref="P17:P18"/>
    <mergeCell ref="A15:X15"/>
    <mergeCell ref="A16:X16"/>
    <mergeCell ref="A17:A21"/>
    <mergeCell ref="B17:B21"/>
    <mergeCell ref="C17:C21"/>
    <mergeCell ref="D17:D21"/>
    <mergeCell ref="E17:E21"/>
    <mergeCell ref="F17:F21"/>
    <mergeCell ref="G17:G21"/>
    <mergeCell ref="J17:J18"/>
    <mergeCell ref="T11:T12"/>
    <mergeCell ref="U11:U12"/>
    <mergeCell ref="V11:V12"/>
    <mergeCell ref="W11:W12"/>
    <mergeCell ref="X11:X12"/>
    <mergeCell ref="A14:X14"/>
  </mergeCells>
  <printOptions horizontalCentered="1"/>
  <pageMargins left="0.31496062992125984" right="0.27559055118110237" top="0.98425196850393704" bottom="0.74803149606299213" header="0.31496062992125984" footer="0.31496062992125984"/>
  <pageSetup paperSize="9" scale="45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22"/>
  <sheetViews>
    <sheetView view="pageBreakPreview" topLeftCell="K1" zoomScaleSheetLayoutView="100" workbookViewId="0">
      <selection activeCell="O86" sqref="O86"/>
    </sheetView>
  </sheetViews>
  <sheetFormatPr defaultColWidth="9" defaultRowHeight="15"/>
  <cols>
    <col min="1" max="1" width="5.375" style="579" customWidth="1"/>
    <col min="2" max="2" width="13.125" style="579" customWidth="1"/>
    <col min="3" max="3" width="43.875" style="579" customWidth="1"/>
    <col min="4" max="4" width="11.5" style="579" customWidth="1"/>
    <col min="5" max="5" width="10.375" style="579" customWidth="1"/>
    <col min="6" max="6" width="11" style="579" customWidth="1"/>
    <col min="7" max="8" width="12.125" style="579" customWidth="1"/>
    <col min="9" max="9" width="3.125" style="579" customWidth="1"/>
    <col min="10" max="10" width="12.875" style="579" customWidth="1"/>
    <col min="11" max="12" width="12.125" style="579" customWidth="1"/>
    <col min="13" max="13" width="11.375" style="579" customWidth="1"/>
    <col min="14" max="15" width="11.875" style="579" customWidth="1"/>
    <col min="16" max="16" width="11.75" style="579" customWidth="1"/>
    <col min="17" max="17" width="11.375" style="579" customWidth="1"/>
    <col min="18" max="18" width="11.875" style="579" customWidth="1"/>
    <col min="19" max="19" width="11.375" style="579" customWidth="1"/>
    <col min="20" max="20" width="10.375" style="579" customWidth="1"/>
    <col min="21" max="21" width="12.875" style="579" customWidth="1"/>
    <col min="22" max="22" width="11.75" style="579" customWidth="1"/>
    <col min="23" max="23" width="11" style="579" customWidth="1"/>
    <col min="24" max="16384" width="9" style="579"/>
  </cols>
  <sheetData>
    <row r="1" spans="1:256" s="539" customFormat="1" ht="15.75">
      <c r="A1" s="538" t="s">
        <v>382</v>
      </c>
      <c r="T1" s="1021" t="s">
        <v>1166</v>
      </c>
      <c r="U1" s="1021"/>
      <c r="V1" s="1021"/>
    </row>
    <row r="2" spans="1:256" s="539" customFormat="1" ht="15.75">
      <c r="A2" s="538"/>
      <c r="T2" s="1021" t="s">
        <v>1114</v>
      </c>
      <c r="U2" s="1021"/>
      <c r="V2" s="1021"/>
    </row>
    <row r="3" spans="1:256" s="539" customFormat="1" ht="15.75">
      <c r="A3" s="538"/>
      <c r="T3" s="1021" t="s">
        <v>848</v>
      </c>
      <c r="U3" s="1021"/>
      <c r="V3" s="1021"/>
    </row>
    <row r="4" spans="1:256" s="539" customFormat="1" ht="10.5" customHeight="1">
      <c r="A4" s="538"/>
    </row>
    <row r="5" spans="1:256" s="539" customFormat="1" ht="10.5" customHeight="1">
      <c r="A5" s="538"/>
    </row>
    <row r="6" spans="1:256" s="539" customFormat="1" ht="43.5" customHeight="1">
      <c r="A6" s="1022" t="s">
        <v>1115</v>
      </c>
      <c r="B6" s="1022"/>
      <c r="C6" s="1022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572"/>
    </row>
    <row r="7" spans="1:256" s="539" customFormat="1" ht="15" customHeight="1">
      <c r="A7" s="573"/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4"/>
    </row>
    <row r="8" spans="1:256" s="545" customFormat="1" ht="12.75" customHeight="1">
      <c r="A8" s="541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2"/>
      <c r="W8" s="543" t="s">
        <v>0</v>
      </c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542"/>
      <c r="CP8" s="542"/>
      <c r="CQ8" s="542"/>
      <c r="CR8" s="542"/>
      <c r="CS8" s="542"/>
      <c r="CT8" s="542"/>
      <c r="CU8" s="542"/>
      <c r="CV8" s="542"/>
      <c r="CW8" s="542"/>
      <c r="CX8" s="542"/>
      <c r="CY8" s="542"/>
      <c r="CZ8" s="542"/>
      <c r="DA8" s="542"/>
      <c r="DB8" s="542"/>
      <c r="DC8" s="542"/>
      <c r="DD8" s="542"/>
      <c r="DE8" s="542"/>
      <c r="DF8" s="542"/>
      <c r="DG8" s="542"/>
      <c r="DH8" s="542"/>
      <c r="DI8" s="542"/>
      <c r="DJ8" s="542"/>
      <c r="DK8" s="542"/>
      <c r="DL8" s="542"/>
      <c r="DM8" s="542"/>
      <c r="DN8" s="542"/>
      <c r="DO8" s="542"/>
      <c r="DP8" s="542"/>
      <c r="DQ8" s="542"/>
      <c r="DR8" s="542"/>
      <c r="DS8" s="542"/>
      <c r="DT8" s="542"/>
      <c r="DU8" s="542"/>
      <c r="DV8" s="542"/>
      <c r="DW8" s="542"/>
      <c r="DX8" s="542"/>
      <c r="DY8" s="542"/>
      <c r="DZ8" s="542"/>
      <c r="EA8" s="542"/>
      <c r="EB8" s="542"/>
      <c r="EC8" s="542"/>
      <c r="ED8" s="542"/>
      <c r="EE8" s="542"/>
      <c r="EF8" s="542"/>
      <c r="EG8" s="542"/>
      <c r="EH8" s="542"/>
      <c r="EI8" s="542"/>
      <c r="EJ8" s="542"/>
      <c r="EK8" s="542"/>
      <c r="EL8" s="542"/>
      <c r="EM8" s="542"/>
      <c r="EN8" s="542"/>
      <c r="EO8" s="542"/>
      <c r="EP8" s="542"/>
      <c r="EQ8" s="542"/>
      <c r="ER8" s="542"/>
      <c r="ES8" s="542"/>
      <c r="ET8" s="542"/>
      <c r="EU8" s="542"/>
      <c r="EV8" s="542"/>
      <c r="EW8" s="542"/>
      <c r="EX8" s="542"/>
      <c r="EY8" s="542"/>
      <c r="EZ8" s="542"/>
      <c r="FA8" s="542"/>
      <c r="FB8" s="542"/>
      <c r="FC8" s="542"/>
      <c r="FD8" s="542"/>
      <c r="FE8" s="542"/>
      <c r="FF8" s="542"/>
      <c r="FG8" s="542"/>
      <c r="FH8" s="542"/>
      <c r="FI8" s="542"/>
      <c r="FJ8" s="542"/>
      <c r="FK8" s="542"/>
      <c r="FL8" s="542"/>
      <c r="FM8" s="542"/>
      <c r="FN8" s="542"/>
      <c r="FO8" s="542"/>
      <c r="FP8" s="542"/>
      <c r="FQ8" s="542"/>
      <c r="FR8" s="542"/>
      <c r="FS8" s="542"/>
      <c r="FT8" s="542"/>
      <c r="FU8" s="542"/>
      <c r="FV8" s="542"/>
      <c r="FW8" s="542"/>
      <c r="FX8" s="542"/>
      <c r="FY8" s="542"/>
      <c r="FZ8" s="542"/>
      <c r="GA8" s="542"/>
      <c r="GB8" s="542"/>
      <c r="GC8" s="542"/>
      <c r="GD8" s="542"/>
      <c r="GE8" s="542"/>
      <c r="GF8" s="542"/>
      <c r="GG8" s="542"/>
      <c r="GH8" s="542"/>
      <c r="GI8" s="542"/>
      <c r="GJ8" s="542"/>
      <c r="GK8" s="542"/>
      <c r="GL8" s="542"/>
      <c r="GM8" s="542"/>
      <c r="GN8" s="542"/>
      <c r="GO8" s="542"/>
      <c r="GP8" s="542"/>
      <c r="GQ8" s="542"/>
      <c r="GR8" s="542"/>
      <c r="GS8" s="542"/>
      <c r="GT8" s="542"/>
      <c r="GU8" s="542"/>
      <c r="GV8" s="542"/>
      <c r="GW8" s="542"/>
      <c r="GX8" s="542"/>
      <c r="GY8" s="542"/>
      <c r="GZ8" s="542"/>
      <c r="HA8" s="542"/>
      <c r="HB8" s="542"/>
      <c r="HC8" s="542"/>
      <c r="HD8" s="542"/>
      <c r="HE8" s="542"/>
      <c r="HF8" s="542"/>
      <c r="HG8" s="542"/>
      <c r="HH8" s="542"/>
      <c r="HI8" s="542"/>
      <c r="HJ8" s="542"/>
      <c r="HK8" s="542"/>
      <c r="HL8" s="542"/>
      <c r="HM8" s="542"/>
      <c r="HN8" s="542"/>
      <c r="HO8" s="542"/>
      <c r="HP8" s="542"/>
      <c r="HQ8" s="542"/>
      <c r="HR8" s="542"/>
      <c r="HS8" s="542"/>
      <c r="HT8" s="542"/>
      <c r="HU8" s="542"/>
      <c r="HV8" s="542"/>
      <c r="HW8" s="542"/>
      <c r="HX8" s="542"/>
      <c r="HY8" s="542"/>
      <c r="HZ8" s="542"/>
      <c r="IA8" s="542"/>
      <c r="IB8" s="542"/>
      <c r="IC8" s="542"/>
      <c r="ID8" s="542"/>
      <c r="IE8" s="542"/>
      <c r="IF8" s="542"/>
      <c r="IG8" s="542"/>
      <c r="IH8" s="542"/>
      <c r="II8" s="542"/>
      <c r="IJ8" s="542"/>
      <c r="IK8" s="542"/>
      <c r="IL8" s="542"/>
      <c r="IM8" s="542"/>
      <c r="IN8" s="542"/>
      <c r="IO8" s="542"/>
      <c r="IP8" s="542"/>
      <c r="IQ8" s="542"/>
      <c r="IR8" s="542"/>
      <c r="IS8" s="542"/>
      <c r="IT8" s="542"/>
      <c r="IU8" s="542"/>
      <c r="IV8" s="542"/>
    </row>
    <row r="9" spans="1:256" s="545" customFormat="1" ht="22.5" customHeight="1">
      <c r="A9" s="939" t="s">
        <v>908</v>
      </c>
      <c r="B9" s="942" t="s">
        <v>1116</v>
      </c>
      <c r="C9" s="945" t="s">
        <v>1117</v>
      </c>
      <c r="D9" s="945" t="s">
        <v>911</v>
      </c>
      <c r="E9" s="942" t="s">
        <v>912</v>
      </c>
      <c r="F9" s="945" t="s">
        <v>224</v>
      </c>
      <c r="G9" s="948" t="s">
        <v>1118</v>
      </c>
      <c r="H9" s="948" t="s">
        <v>1119</v>
      </c>
      <c r="I9" s="945" t="s">
        <v>11</v>
      </c>
      <c r="J9" s="968" t="s">
        <v>915</v>
      </c>
      <c r="K9" s="968"/>
      <c r="L9" s="968"/>
      <c r="M9" s="968"/>
      <c r="N9" s="968"/>
      <c r="O9" s="968"/>
      <c r="P9" s="968"/>
      <c r="Q9" s="968"/>
      <c r="R9" s="968"/>
      <c r="S9" s="968"/>
      <c r="T9" s="968"/>
      <c r="U9" s="968"/>
      <c r="V9" s="968"/>
      <c r="W9" s="968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542"/>
      <c r="CB9" s="542"/>
      <c r="CC9" s="542"/>
      <c r="CD9" s="542"/>
      <c r="CE9" s="542"/>
      <c r="CF9" s="542"/>
      <c r="CG9" s="542"/>
      <c r="CH9" s="542"/>
      <c r="CI9" s="542"/>
      <c r="CJ9" s="542"/>
      <c r="CK9" s="542"/>
      <c r="CL9" s="542"/>
      <c r="CM9" s="542"/>
      <c r="CN9" s="542"/>
      <c r="CO9" s="542"/>
      <c r="CP9" s="542"/>
      <c r="CQ9" s="542"/>
      <c r="CR9" s="542"/>
      <c r="CS9" s="542"/>
      <c r="CT9" s="542"/>
      <c r="CU9" s="542"/>
      <c r="CV9" s="542"/>
      <c r="CW9" s="542"/>
      <c r="CX9" s="542"/>
      <c r="CY9" s="542"/>
      <c r="CZ9" s="542"/>
      <c r="DA9" s="542"/>
      <c r="DB9" s="542"/>
      <c r="DC9" s="542"/>
      <c r="DD9" s="542"/>
      <c r="DE9" s="542"/>
      <c r="DF9" s="542"/>
      <c r="DG9" s="542"/>
      <c r="DH9" s="542"/>
      <c r="DI9" s="542"/>
      <c r="DJ9" s="542"/>
      <c r="DK9" s="542"/>
      <c r="DL9" s="542"/>
      <c r="DM9" s="542"/>
      <c r="DN9" s="542"/>
      <c r="DO9" s="542"/>
      <c r="DP9" s="542"/>
      <c r="DQ9" s="542"/>
      <c r="DR9" s="542"/>
      <c r="DS9" s="542"/>
      <c r="DT9" s="542"/>
      <c r="DU9" s="542"/>
      <c r="DV9" s="542"/>
      <c r="DW9" s="542"/>
      <c r="DX9" s="542"/>
      <c r="DY9" s="542"/>
      <c r="DZ9" s="542"/>
      <c r="EA9" s="542"/>
      <c r="EB9" s="542"/>
      <c r="EC9" s="542"/>
      <c r="ED9" s="542"/>
      <c r="EE9" s="542"/>
      <c r="EF9" s="542"/>
      <c r="EG9" s="542"/>
      <c r="EH9" s="542"/>
      <c r="EI9" s="542"/>
      <c r="EJ9" s="542"/>
      <c r="EK9" s="542"/>
      <c r="EL9" s="542"/>
      <c r="EM9" s="542"/>
      <c r="EN9" s="542"/>
      <c r="EO9" s="542"/>
      <c r="EP9" s="542"/>
      <c r="EQ9" s="542"/>
      <c r="ER9" s="542"/>
      <c r="ES9" s="542"/>
      <c r="ET9" s="542"/>
      <c r="EU9" s="542"/>
      <c r="EV9" s="542"/>
      <c r="EW9" s="542"/>
      <c r="EX9" s="542"/>
      <c r="EY9" s="542"/>
      <c r="EZ9" s="542"/>
      <c r="FA9" s="542"/>
      <c r="FB9" s="542"/>
      <c r="FC9" s="542"/>
      <c r="FD9" s="542"/>
      <c r="FE9" s="542"/>
      <c r="FF9" s="542"/>
      <c r="FG9" s="542"/>
      <c r="FH9" s="542"/>
      <c r="FI9" s="542"/>
      <c r="FJ9" s="542"/>
      <c r="FK9" s="542"/>
      <c r="FL9" s="542"/>
      <c r="FM9" s="542"/>
      <c r="FN9" s="542"/>
      <c r="FO9" s="542"/>
      <c r="FP9" s="542"/>
      <c r="FQ9" s="542"/>
      <c r="FR9" s="542"/>
      <c r="FS9" s="542"/>
      <c r="FT9" s="542"/>
      <c r="FU9" s="542"/>
      <c r="FV9" s="542"/>
      <c r="FW9" s="542"/>
      <c r="FX9" s="542"/>
      <c r="FY9" s="542"/>
      <c r="FZ9" s="542"/>
      <c r="GA9" s="542"/>
      <c r="GB9" s="542"/>
      <c r="GC9" s="542"/>
      <c r="GD9" s="542"/>
      <c r="GE9" s="542"/>
      <c r="GF9" s="542"/>
      <c r="GG9" s="542"/>
      <c r="GH9" s="542"/>
      <c r="GI9" s="542"/>
      <c r="GJ9" s="542"/>
      <c r="GK9" s="542"/>
      <c r="GL9" s="542"/>
      <c r="GM9" s="542"/>
      <c r="GN9" s="542"/>
      <c r="GO9" s="542"/>
      <c r="GP9" s="542"/>
      <c r="GQ9" s="542"/>
      <c r="GR9" s="542"/>
      <c r="GS9" s="542"/>
      <c r="GT9" s="542"/>
      <c r="GU9" s="542"/>
      <c r="GV9" s="542"/>
      <c r="GW9" s="542"/>
      <c r="GX9" s="542"/>
      <c r="GY9" s="542"/>
      <c r="GZ9" s="542"/>
      <c r="HA9" s="542"/>
      <c r="HB9" s="542"/>
      <c r="HC9" s="542"/>
      <c r="HD9" s="542"/>
      <c r="HE9" s="542"/>
      <c r="HF9" s="542"/>
      <c r="HG9" s="542"/>
      <c r="HH9" s="542"/>
      <c r="HI9" s="542"/>
      <c r="HJ9" s="542"/>
      <c r="HK9" s="542"/>
      <c r="HL9" s="542"/>
      <c r="HM9" s="542"/>
      <c r="HN9" s="542"/>
      <c r="HO9" s="542"/>
      <c r="HP9" s="542"/>
      <c r="HQ9" s="542"/>
      <c r="HR9" s="542"/>
      <c r="HS9" s="542"/>
      <c r="HT9" s="542"/>
      <c r="HU9" s="542"/>
      <c r="HV9" s="542"/>
      <c r="HW9" s="542"/>
      <c r="HX9" s="542"/>
      <c r="HY9" s="542"/>
      <c r="HZ9" s="542"/>
      <c r="IA9" s="542"/>
      <c r="IB9" s="542"/>
      <c r="IC9" s="542"/>
      <c r="ID9" s="542"/>
      <c r="IE9" s="542"/>
      <c r="IF9" s="542"/>
      <c r="IG9" s="542"/>
      <c r="IH9" s="542"/>
      <c r="II9" s="542"/>
      <c r="IJ9" s="542"/>
      <c r="IK9" s="542"/>
      <c r="IL9" s="542"/>
      <c r="IM9" s="542"/>
      <c r="IN9" s="542"/>
      <c r="IO9" s="542"/>
      <c r="IP9" s="542"/>
      <c r="IQ9" s="542"/>
      <c r="IR9" s="542"/>
      <c r="IS9" s="542"/>
      <c r="IT9" s="542"/>
      <c r="IU9" s="542"/>
      <c r="IV9" s="542"/>
    </row>
    <row r="10" spans="1:256" s="545" customFormat="1" ht="30.75" customHeight="1">
      <c r="A10" s="940"/>
      <c r="B10" s="943"/>
      <c r="C10" s="946"/>
      <c r="D10" s="946"/>
      <c r="E10" s="943"/>
      <c r="F10" s="946"/>
      <c r="G10" s="948"/>
      <c r="H10" s="948"/>
      <c r="I10" s="946"/>
      <c r="J10" s="968"/>
      <c r="K10" s="968"/>
      <c r="L10" s="968"/>
      <c r="M10" s="968"/>
      <c r="N10" s="968"/>
      <c r="O10" s="968"/>
      <c r="P10" s="968"/>
      <c r="Q10" s="968"/>
      <c r="R10" s="968"/>
      <c r="S10" s="968"/>
      <c r="T10" s="968"/>
      <c r="U10" s="968"/>
      <c r="V10" s="968"/>
      <c r="W10" s="968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4"/>
      <c r="BI10" s="544"/>
      <c r="BJ10" s="544"/>
      <c r="BK10" s="544"/>
      <c r="BL10" s="544"/>
      <c r="BM10" s="544"/>
      <c r="BN10" s="544"/>
      <c r="BO10" s="544"/>
      <c r="BP10" s="544"/>
      <c r="BQ10" s="544"/>
      <c r="BR10" s="544"/>
      <c r="BS10" s="544"/>
      <c r="BT10" s="544"/>
      <c r="BU10" s="544"/>
      <c r="BV10" s="544"/>
      <c r="BW10" s="544"/>
      <c r="BX10" s="544"/>
      <c r="BY10" s="544"/>
      <c r="BZ10" s="544"/>
      <c r="CA10" s="544"/>
      <c r="CB10" s="544"/>
      <c r="CC10" s="544"/>
      <c r="CD10" s="544"/>
      <c r="CE10" s="544"/>
      <c r="CF10" s="544"/>
      <c r="CG10" s="544"/>
      <c r="CH10" s="544"/>
      <c r="CI10" s="544"/>
      <c r="CJ10" s="544"/>
      <c r="CK10" s="544"/>
      <c r="CL10" s="544"/>
      <c r="CM10" s="544"/>
      <c r="CN10" s="544"/>
      <c r="CO10" s="544"/>
      <c r="CP10" s="544"/>
      <c r="CQ10" s="544"/>
      <c r="CR10" s="544"/>
      <c r="CS10" s="544"/>
      <c r="CT10" s="544"/>
      <c r="CU10" s="544"/>
      <c r="CV10" s="544"/>
      <c r="CW10" s="544"/>
      <c r="CX10" s="544"/>
      <c r="CY10" s="544"/>
      <c r="CZ10" s="544"/>
      <c r="DA10" s="544"/>
      <c r="DB10" s="544"/>
      <c r="DC10" s="544"/>
      <c r="DD10" s="544"/>
      <c r="DE10" s="544"/>
      <c r="DF10" s="544"/>
      <c r="DG10" s="544"/>
      <c r="DH10" s="544"/>
      <c r="DI10" s="544"/>
      <c r="DJ10" s="544"/>
      <c r="DK10" s="544"/>
      <c r="DL10" s="544"/>
      <c r="DM10" s="544"/>
      <c r="DN10" s="544"/>
      <c r="DO10" s="544"/>
      <c r="DP10" s="544"/>
      <c r="DQ10" s="544"/>
      <c r="DR10" s="544"/>
      <c r="DS10" s="544"/>
      <c r="DT10" s="544"/>
      <c r="DU10" s="544"/>
      <c r="DV10" s="544"/>
      <c r="DW10" s="544"/>
      <c r="DX10" s="544"/>
      <c r="DY10" s="544"/>
      <c r="DZ10" s="544"/>
      <c r="EA10" s="544"/>
      <c r="EB10" s="544"/>
      <c r="EC10" s="544"/>
      <c r="ED10" s="544"/>
      <c r="EE10" s="544"/>
      <c r="EF10" s="544"/>
      <c r="EG10" s="544"/>
      <c r="EH10" s="544"/>
      <c r="EI10" s="544"/>
      <c r="EJ10" s="544"/>
      <c r="EK10" s="544"/>
      <c r="EL10" s="544"/>
      <c r="EM10" s="544"/>
      <c r="EN10" s="544"/>
      <c r="EO10" s="544"/>
      <c r="EP10" s="544"/>
      <c r="EQ10" s="544"/>
      <c r="ER10" s="544"/>
      <c r="ES10" s="544"/>
      <c r="ET10" s="544"/>
      <c r="EU10" s="544"/>
      <c r="EV10" s="544"/>
      <c r="EW10" s="544"/>
      <c r="EX10" s="544"/>
      <c r="EY10" s="544"/>
      <c r="EZ10" s="544"/>
      <c r="FA10" s="544"/>
      <c r="FB10" s="544"/>
      <c r="FC10" s="544"/>
      <c r="FD10" s="544"/>
      <c r="FE10" s="544"/>
      <c r="FF10" s="544"/>
      <c r="FG10" s="544"/>
      <c r="FH10" s="544"/>
      <c r="FI10" s="544"/>
      <c r="FJ10" s="544"/>
      <c r="FK10" s="544"/>
      <c r="FL10" s="544"/>
      <c r="FM10" s="544"/>
      <c r="FN10" s="544"/>
      <c r="FO10" s="544"/>
      <c r="FP10" s="544"/>
      <c r="FQ10" s="544"/>
      <c r="FR10" s="544"/>
      <c r="FS10" s="544"/>
      <c r="FT10" s="544"/>
      <c r="FU10" s="544"/>
      <c r="FV10" s="544"/>
      <c r="FW10" s="544"/>
      <c r="FX10" s="544"/>
      <c r="FY10" s="544"/>
      <c r="FZ10" s="544"/>
      <c r="GA10" s="544"/>
      <c r="GB10" s="544"/>
      <c r="GC10" s="544"/>
      <c r="GD10" s="544"/>
      <c r="GE10" s="544"/>
      <c r="GF10" s="544"/>
      <c r="GG10" s="544"/>
      <c r="GH10" s="544"/>
      <c r="GI10" s="544"/>
      <c r="GJ10" s="544"/>
      <c r="GK10" s="544"/>
      <c r="GL10" s="544"/>
      <c r="GM10" s="544"/>
      <c r="GN10" s="544"/>
      <c r="GO10" s="544"/>
      <c r="GP10" s="544"/>
      <c r="GQ10" s="544"/>
      <c r="GR10" s="544"/>
      <c r="GS10" s="544"/>
      <c r="GT10" s="544"/>
      <c r="GU10" s="544"/>
      <c r="GV10" s="544"/>
      <c r="GW10" s="544"/>
      <c r="GX10" s="544"/>
      <c r="GY10" s="544"/>
      <c r="GZ10" s="544"/>
      <c r="HA10" s="544"/>
      <c r="HB10" s="544"/>
      <c r="HC10" s="544"/>
      <c r="HD10" s="544"/>
      <c r="HE10" s="544"/>
      <c r="HF10" s="544"/>
      <c r="HG10" s="544"/>
      <c r="HH10" s="544"/>
      <c r="HI10" s="544"/>
      <c r="HJ10" s="544"/>
      <c r="HK10" s="544"/>
      <c r="HL10" s="544"/>
      <c r="HM10" s="544"/>
      <c r="HN10" s="544"/>
      <c r="HO10" s="544"/>
      <c r="HP10" s="544"/>
      <c r="HQ10" s="544"/>
      <c r="HR10" s="544"/>
      <c r="HS10" s="544"/>
      <c r="HT10" s="544"/>
      <c r="HU10" s="544"/>
      <c r="HV10" s="544"/>
      <c r="HW10" s="544"/>
      <c r="HX10" s="544"/>
      <c r="HY10" s="544"/>
      <c r="HZ10" s="544"/>
      <c r="IA10" s="544"/>
      <c r="IB10" s="544"/>
      <c r="IC10" s="544"/>
      <c r="ID10" s="544"/>
      <c r="IE10" s="544"/>
      <c r="IF10" s="544"/>
      <c r="IG10" s="544"/>
      <c r="IH10" s="544"/>
      <c r="II10" s="544"/>
      <c r="IJ10" s="544"/>
      <c r="IK10" s="544"/>
      <c r="IL10" s="544"/>
      <c r="IM10" s="544"/>
      <c r="IN10" s="544"/>
      <c r="IO10" s="544"/>
      <c r="IP10" s="544"/>
      <c r="IQ10" s="544"/>
      <c r="IR10" s="544"/>
      <c r="IS10" s="544"/>
      <c r="IT10" s="544"/>
      <c r="IU10" s="544"/>
      <c r="IV10" s="544"/>
    </row>
    <row r="11" spans="1:256" s="545" customFormat="1" ht="15.75" customHeight="1">
      <c r="A11" s="940"/>
      <c r="B11" s="943"/>
      <c r="C11" s="946"/>
      <c r="D11" s="946"/>
      <c r="E11" s="943"/>
      <c r="F11" s="946"/>
      <c r="G11" s="797" t="s">
        <v>916</v>
      </c>
      <c r="H11" s="797" t="s">
        <v>916</v>
      </c>
      <c r="I11" s="946"/>
      <c r="J11" s="968" t="s">
        <v>917</v>
      </c>
      <c r="K11" s="969" t="s">
        <v>918</v>
      </c>
      <c r="L11" s="969"/>
      <c r="M11" s="969"/>
      <c r="N11" s="962" t="s">
        <v>919</v>
      </c>
      <c r="O11" s="969" t="s">
        <v>1120</v>
      </c>
      <c r="P11" s="969"/>
      <c r="Q11" s="969"/>
      <c r="R11" s="969"/>
      <c r="S11" s="969"/>
      <c r="T11" s="969"/>
      <c r="U11" s="969"/>
      <c r="V11" s="969"/>
      <c r="W11" s="969"/>
      <c r="X11" s="544"/>
      <c r="Y11" s="544"/>
      <c r="Z11" s="544"/>
      <c r="AA11" s="544"/>
      <c r="AB11" s="544"/>
      <c r="AC11" s="544"/>
      <c r="AD11" s="544"/>
      <c r="AE11" s="544"/>
      <c r="AF11" s="544"/>
      <c r="AG11" s="544"/>
      <c r="AH11" s="544"/>
      <c r="AI11" s="544"/>
      <c r="AJ11" s="544"/>
      <c r="AK11" s="544"/>
      <c r="AL11" s="544"/>
      <c r="AM11" s="544"/>
      <c r="AN11" s="544"/>
      <c r="AO11" s="544"/>
      <c r="AP11" s="544"/>
      <c r="AQ11" s="544"/>
      <c r="AR11" s="544"/>
      <c r="AS11" s="544"/>
      <c r="AT11" s="544"/>
      <c r="AU11" s="544"/>
      <c r="AV11" s="544"/>
      <c r="AW11" s="544"/>
      <c r="AX11" s="544"/>
      <c r="AY11" s="544"/>
      <c r="AZ11" s="544"/>
      <c r="BA11" s="544"/>
      <c r="BB11" s="544"/>
      <c r="BC11" s="544"/>
      <c r="BD11" s="544"/>
      <c r="BE11" s="544"/>
      <c r="BF11" s="544"/>
      <c r="BG11" s="544"/>
      <c r="BH11" s="544"/>
      <c r="BI11" s="544"/>
      <c r="BJ11" s="544"/>
      <c r="BK11" s="544"/>
      <c r="BL11" s="544"/>
      <c r="BM11" s="544"/>
      <c r="BN11" s="544"/>
      <c r="BO11" s="544"/>
      <c r="BP11" s="544"/>
      <c r="BQ11" s="544"/>
      <c r="BR11" s="544"/>
      <c r="BS11" s="544"/>
      <c r="BT11" s="544"/>
      <c r="BU11" s="544"/>
      <c r="BV11" s="544"/>
      <c r="BW11" s="544"/>
      <c r="BX11" s="544"/>
      <c r="BY11" s="544"/>
      <c r="BZ11" s="544"/>
      <c r="CA11" s="544"/>
      <c r="CB11" s="544"/>
      <c r="CC11" s="544"/>
      <c r="CD11" s="544"/>
      <c r="CE11" s="544"/>
      <c r="CF11" s="544"/>
      <c r="CG11" s="544"/>
      <c r="CH11" s="544"/>
      <c r="CI11" s="544"/>
      <c r="CJ11" s="544"/>
      <c r="CK11" s="544"/>
      <c r="CL11" s="544"/>
      <c r="CM11" s="544"/>
      <c r="CN11" s="544"/>
      <c r="CO11" s="544"/>
      <c r="CP11" s="544"/>
      <c r="CQ11" s="544"/>
      <c r="CR11" s="544"/>
      <c r="CS11" s="544"/>
      <c r="CT11" s="544"/>
      <c r="CU11" s="544"/>
      <c r="CV11" s="544"/>
      <c r="CW11" s="544"/>
      <c r="CX11" s="544"/>
      <c r="CY11" s="544"/>
      <c r="CZ11" s="544"/>
      <c r="DA11" s="544"/>
      <c r="DB11" s="544"/>
      <c r="DC11" s="544"/>
      <c r="DD11" s="544"/>
      <c r="DE11" s="544"/>
      <c r="DF11" s="544"/>
      <c r="DG11" s="544"/>
      <c r="DH11" s="544"/>
      <c r="DI11" s="544"/>
      <c r="DJ11" s="544"/>
      <c r="DK11" s="544"/>
      <c r="DL11" s="544"/>
      <c r="DM11" s="544"/>
      <c r="DN11" s="544"/>
      <c r="DO11" s="544"/>
      <c r="DP11" s="544"/>
      <c r="DQ11" s="544"/>
      <c r="DR11" s="544"/>
      <c r="DS11" s="544"/>
      <c r="DT11" s="544"/>
      <c r="DU11" s="544"/>
      <c r="DV11" s="544"/>
      <c r="DW11" s="544"/>
      <c r="DX11" s="544"/>
      <c r="DY11" s="544"/>
      <c r="DZ11" s="544"/>
      <c r="EA11" s="544"/>
      <c r="EB11" s="544"/>
      <c r="EC11" s="544"/>
      <c r="ED11" s="544"/>
      <c r="EE11" s="544"/>
      <c r="EF11" s="544"/>
      <c r="EG11" s="544"/>
      <c r="EH11" s="544"/>
      <c r="EI11" s="544"/>
      <c r="EJ11" s="544"/>
      <c r="EK11" s="544"/>
      <c r="EL11" s="544"/>
      <c r="EM11" s="544"/>
      <c r="EN11" s="544"/>
      <c r="EO11" s="544"/>
      <c r="EP11" s="544"/>
      <c r="EQ11" s="544"/>
      <c r="ER11" s="544"/>
      <c r="ES11" s="544"/>
      <c r="ET11" s="544"/>
      <c r="EU11" s="544"/>
      <c r="EV11" s="544"/>
      <c r="EW11" s="544"/>
      <c r="EX11" s="544"/>
      <c r="EY11" s="544"/>
      <c r="EZ11" s="544"/>
      <c r="FA11" s="544"/>
      <c r="FB11" s="544"/>
      <c r="FC11" s="544"/>
      <c r="FD11" s="544"/>
      <c r="FE11" s="544"/>
      <c r="FF11" s="544"/>
      <c r="FG11" s="544"/>
      <c r="FH11" s="544"/>
      <c r="FI11" s="544"/>
      <c r="FJ11" s="544"/>
      <c r="FK11" s="544"/>
      <c r="FL11" s="544"/>
      <c r="FM11" s="544"/>
      <c r="FN11" s="544"/>
      <c r="FO11" s="544"/>
      <c r="FP11" s="544"/>
      <c r="FQ11" s="544"/>
      <c r="FR11" s="544"/>
      <c r="FS11" s="544"/>
      <c r="FT11" s="544"/>
      <c r="FU11" s="544"/>
      <c r="FV11" s="544"/>
      <c r="FW11" s="544"/>
      <c r="FX11" s="544"/>
      <c r="FY11" s="544"/>
      <c r="FZ11" s="544"/>
      <c r="GA11" s="544"/>
      <c r="GB11" s="544"/>
      <c r="GC11" s="544"/>
      <c r="GD11" s="544"/>
      <c r="GE11" s="544"/>
      <c r="GF11" s="544"/>
      <c r="GG11" s="544"/>
      <c r="GH11" s="544"/>
      <c r="GI11" s="544"/>
      <c r="GJ11" s="544"/>
      <c r="GK11" s="544"/>
      <c r="GL11" s="544"/>
      <c r="GM11" s="544"/>
      <c r="GN11" s="544"/>
      <c r="GO11" s="544"/>
      <c r="GP11" s="544"/>
      <c r="GQ11" s="544"/>
      <c r="GR11" s="544"/>
      <c r="GS11" s="544"/>
      <c r="GT11" s="544"/>
      <c r="GU11" s="544"/>
      <c r="GV11" s="544"/>
      <c r="GW11" s="544"/>
      <c r="GX11" s="544"/>
      <c r="GY11" s="544"/>
      <c r="GZ11" s="544"/>
      <c r="HA11" s="544"/>
      <c r="HB11" s="544"/>
      <c r="HC11" s="544"/>
      <c r="HD11" s="544"/>
      <c r="HE11" s="544"/>
      <c r="HF11" s="544"/>
      <c r="HG11" s="544"/>
      <c r="HH11" s="544"/>
      <c r="HI11" s="544"/>
      <c r="HJ11" s="544"/>
      <c r="HK11" s="544"/>
      <c r="HL11" s="544"/>
      <c r="HM11" s="544"/>
      <c r="HN11" s="544"/>
      <c r="HO11" s="544"/>
      <c r="HP11" s="544"/>
      <c r="HQ11" s="544"/>
      <c r="HR11" s="544"/>
      <c r="HS11" s="544"/>
      <c r="HT11" s="544"/>
      <c r="HU11" s="544"/>
      <c r="HV11" s="544"/>
      <c r="HW11" s="544"/>
      <c r="HX11" s="544"/>
      <c r="HY11" s="544"/>
      <c r="HZ11" s="544"/>
      <c r="IA11" s="544"/>
      <c r="IB11" s="544"/>
      <c r="IC11" s="544"/>
      <c r="ID11" s="544"/>
      <c r="IE11" s="544"/>
      <c r="IF11" s="544"/>
      <c r="IG11" s="544"/>
      <c r="IH11" s="544"/>
      <c r="II11" s="544"/>
      <c r="IJ11" s="544"/>
      <c r="IK11" s="544"/>
      <c r="IL11" s="544"/>
      <c r="IM11" s="544"/>
      <c r="IN11" s="544"/>
      <c r="IO11" s="544"/>
      <c r="IP11" s="544"/>
      <c r="IQ11" s="544"/>
      <c r="IR11" s="544"/>
      <c r="IS11" s="544"/>
      <c r="IT11" s="544"/>
      <c r="IU11" s="544"/>
      <c r="IV11" s="544"/>
    </row>
    <row r="12" spans="1:256" s="575" customFormat="1" ht="14.85" customHeight="1">
      <c r="A12" s="940"/>
      <c r="B12" s="943"/>
      <c r="C12" s="946"/>
      <c r="D12" s="946"/>
      <c r="E12" s="943"/>
      <c r="F12" s="946"/>
      <c r="G12" s="797" t="s">
        <v>921</v>
      </c>
      <c r="H12" s="797" t="s">
        <v>921</v>
      </c>
      <c r="I12" s="946"/>
      <c r="J12" s="968"/>
      <c r="K12" s="969"/>
      <c r="L12" s="969"/>
      <c r="M12" s="969"/>
      <c r="N12" s="962"/>
      <c r="O12" s="960" t="s">
        <v>922</v>
      </c>
      <c r="P12" s="960"/>
      <c r="Q12" s="960"/>
      <c r="R12" s="960" t="s">
        <v>923</v>
      </c>
      <c r="S12" s="960"/>
      <c r="T12" s="960"/>
      <c r="U12" s="962" t="s">
        <v>1121</v>
      </c>
      <c r="V12" s="962"/>
      <c r="W12" s="962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44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4"/>
      <c r="BI12" s="544"/>
      <c r="BJ12" s="544"/>
      <c r="BK12" s="544"/>
      <c r="BL12" s="544"/>
      <c r="BM12" s="544"/>
      <c r="BN12" s="544"/>
      <c r="BO12" s="544"/>
      <c r="BP12" s="544"/>
      <c r="BQ12" s="544"/>
      <c r="BR12" s="544"/>
      <c r="BS12" s="544"/>
      <c r="BT12" s="544"/>
      <c r="BU12" s="544"/>
      <c r="BV12" s="544"/>
      <c r="BW12" s="544"/>
      <c r="BX12" s="544"/>
      <c r="BY12" s="544"/>
      <c r="BZ12" s="544"/>
      <c r="CA12" s="544"/>
      <c r="CB12" s="544"/>
      <c r="CC12" s="544"/>
      <c r="CD12" s="544"/>
      <c r="CE12" s="544"/>
      <c r="CF12" s="544"/>
      <c r="CG12" s="544"/>
      <c r="CH12" s="544"/>
      <c r="CI12" s="544"/>
      <c r="CJ12" s="544"/>
      <c r="CK12" s="544"/>
      <c r="CL12" s="544"/>
      <c r="CM12" s="544"/>
      <c r="CN12" s="544"/>
      <c r="CO12" s="544"/>
      <c r="CP12" s="544"/>
      <c r="CQ12" s="544"/>
      <c r="CR12" s="544"/>
      <c r="CS12" s="544"/>
      <c r="CT12" s="544"/>
      <c r="CU12" s="544"/>
      <c r="CV12" s="544"/>
      <c r="CW12" s="544"/>
      <c r="CX12" s="544"/>
      <c r="CY12" s="544"/>
      <c r="CZ12" s="544"/>
      <c r="DA12" s="544"/>
      <c r="DB12" s="544"/>
      <c r="DC12" s="544"/>
      <c r="DD12" s="544"/>
      <c r="DE12" s="544"/>
      <c r="DF12" s="544"/>
      <c r="DG12" s="544"/>
      <c r="DH12" s="544"/>
      <c r="DI12" s="544"/>
      <c r="DJ12" s="544"/>
      <c r="DK12" s="544"/>
      <c r="DL12" s="544"/>
      <c r="DM12" s="544"/>
      <c r="DN12" s="544"/>
      <c r="DO12" s="544"/>
      <c r="DP12" s="544"/>
      <c r="DQ12" s="544"/>
      <c r="DR12" s="544"/>
      <c r="DS12" s="544"/>
      <c r="DT12" s="544"/>
      <c r="DU12" s="544"/>
      <c r="DV12" s="544"/>
      <c r="DW12" s="544"/>
      <c r="DX12" s="544"/>
      <c r="DY12" s="544"/>
      <c r="DZ12" s="544"/>
      <c r="EA12" s="544"/>
      <c r="EB12" s="544"/>
      <c r="EC12" s="544"/>
      <c r="ED12" s="544"/>
      <c r="EE12" s="544"/>
      <c r="EF12" s="544"/>
      <c r="EG12" s="544"/>
      <c r="EH12" s="544"/>
      <c r="EI12" s="544"/>
      <c r="EJ12" s="544"/>
      <c r="EK12" s="544"/>
      <c r="EL12" s="544"/>
      <c r="EM12" s="544"/>
      <c r="EN12" s="544"/>
      <c r="EO12" s="544"/>
      <c r="EP12" s="544"/>
      <c r="EQ12" s="544"/>
      <c r="ER12" s="544"/>
      <c r="ES12" s="544"/>
      <c r="ET12" s="544"/>
      <c r="EU12" s="544"/>
      <c r="EV12" s="544"/>
      <c r="EW12" s="544"/>
      <c r="EX12" s="544"/>
      <c r="EY12" s="544"/>
      <c r="EZ12" s="544"/>
      <c r="FA12" s="544"/>
      <c r="FB12" s="544"/>
      <c r="FC12" s="544"/>
      <c r="FD12" s="544"/>
      <c r="FE12" s="544"/>
      <c r="FF12" s="544"/>
      <c r="FG12" s="544"/>
      <c r="FH12" s="544"/>
      <c r="FI12" s="544"/>
      <c r="FJ12" s="544"/>
      <c r="FK12" s="544"/>
      <c r="FL12" s="544"/>
      <c r="FM12" s="544"/>
      <c r="FN12" s="544"/>
      <c r="FO12" s="544"/>
      <c r="FP12" s="544"/>
      <c r="FQ12" s="544"/>
      <c r="FR12" s="544"/>
      <c r="FS12" s="544"/>
      <c r="FT12" s="544"/>
      <c r="FU12" s="544"/>
      <c r="FV12" s="544"/>
      <c r="FW12" s="544"/>
      <c r="FX12" s="544"/>
      <c r="FY12" s="544"/>
      <c r="FZ12" s="544"/>
      <c r="GA12" s="544"/>
      <c r="GB12" s="544"/>
      <c r="GC12" s="544"/>
      <c r="GD12" s="544"/>
      <c r="GE12" s="544"/>
      <c r="GF12" s="544"/>
      <c r="GG12" s="544"/>
      <c r="GH12" s="544"/>
      <c r="GI12" s="544"/>
      <c r="GJ12" s="544"/>
      <c r="GK12" s="544"/>
      <c r="GL12" s="544"/>
      <c r="GM12" s="544"/>
      <c r="GN12" s="544"/>
      <c r="GO12" s="544"/>
      <c r="GP12" s="544"/>
      <c r="GQ12" s="544"/>
      <c r="GR12" s="544"/>
      <c r="GS12" s="544"/>
      <c r="GT12" s="544"/>
      <c r="GU12" s="544"/>
      <c r="GV12" s="544"/>
      <c r="GW12" s="544"/>
      <c r="GX12" s="544"/>
      <c r="GY12" s="544"/>
      <c r="GZ12" s="544"/>
      <c r="HA12" s="544"/>
      <c r="HB12" s="544"/>
      <c r="HC12" s="544"/>
      <c r="HD12" s="544"/>
      <c r="HE12" s="544"/>
      <c r="HF12" s="544"/>
      <c r="HG12" s="544"/>
      <c r="HH12" s="544"/>
      <c r="HI12" s="544"/>
      <c r="HJ12" s="544"/>
      <c r="HK12" s="544"/>
      <c r="HL12" s="544"/>
      <c r="HM12" s="544"/>
      <c r="HN12" s="544"/>
      <c r="HO12" s="544"/>
      <c r="HP12" s="544"/>
      <c r="HQ12" s="544"/>
      <c r="HR12" s="544"/>
      <c r="HS12" s="544"/>
      <c r="HT12" s="544"/>
      <c r="HU12" s="544"/>
      <c r="HV12" s="544"/>
      <c r="HW12" s="544"/>
      <c r="HX12" s="544"/>
      <c r="HY12" s="544"/>
      <c r="HZ12" s="544"/>
      <c r="IA12" s="544"/>
      <c r="IB12" s="544"/>
      <c r="IC12" s="544"/>
      <c r="ID12" s="544"/>
      <c r="IE12" s="544"/>
      <c r="IF12" s="544"/>
      <c r="IG12" s="544"/>
      <c r="IH12" s="544"/>
      <c r="II12" s="544"/>
      <c r="IJ12" s="544"/>
      <c r="IK12" s="544"/>
      <c r="IL12" s="544"/>
      <c r="IM12" s="544"/>
      <c r="IN12" s="544"/>
      <c r="IO12" s="544"/>
      <c r="IP12" s="544"/>
      <c r="IQ12" s="544"/>
      <c r="IR12" s="544"/>
      <c r="IS12" s="544"/>
      <c r="IT12" s="544"/>
      <c r="IU12" s="544"/>
      <c r="IV12" s="544"/>
    </row>
    <row r="13" spans="1:256" s="575" customFormat="1" ht="14.85" customHeight="1">
      <c r="A13" s="940"/>
      <c r="B13" s="943"/>
      <c r="C13" s="946"/>
      <c r="D13" s="946"/>
      <c r="E13" s="943"/>
      <c r="F13" s="946"/>
      <c r="G13" s="797" t="s">
        <v>925</v>
      </c>
      <c r="H13" s="797" t="s">
        <v>925</v>
      </c>
      <c r="I13" s="946"/>
      <c r="J13" s="968"/>
      <c r="K13" s="960" t="s">
        <v>79</v>
      </c>
      <c r="L13" s="960" t="s">
        <v>926</v>
      </c>
      <c r="M13" s="960" t="s">
        <v>927</v>
      </c>
      <c r="N13" s="962"/>
      <c r="O13" s="960" t="s">
        <v>79</v>
      </c>
      <c r="P13" s="960" t="s">
        <v>928</v>
      </c>
      <c r="Q13" s="964" t="s">
        <v>927</v>
      </c>
      <c r="R13" s="960" t="s">
        <v>79</v>
      </c>
      <c r="S13" s="960" t="s">
        <v>928</v>
      </c>
      <c r="T13" s="961" t="s">
        <v>927</v>
      </c>
      <c r="U13" s="962" t="s">
        <v>929</v>
      </c>
      <c r="V13" s="960" t="s">
        <v>928</v>
      </c>
      <c r="W13" s="961" t="s">
        <v>927</v>
      </c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4"/>
      <c r="AR13" s="544"/>
      <c r="AS13" s="544"/>
      <c r="AT13" s="544"/>
      <c r="AU13" s="544"/>
      <c r="AV13" s="544"/>
      <c r="AW13" s="544"/>
      <c r="AX13" s="544"/>
      <c r="AY13" s="544"/>
      <c r="AZ13" s="544"/>
      <c r="BA13" s="544"/>
      <c r="BB13" s="544"/>
      <c r="BC13" s="544"/>
      <c r="BD13" s="544"/>
      <c r="BE13" s="544"/>
      <c r="BF13" s="544"/>
      <c r="BG13" s="544"/>
      <c r="BH13" s="544"/>
      <c r="BI13" s="544"/>
      <c r="BJ13" s="544"/>
      <c r="BK13" s="544"/>
      <c r="BL13" s="544"/>
      <c r="BM13" s="544"/>
      <c r="BN13" s="544"/>
      <c r="BO13" s="544"/>
      <c r="BP13" s="544"/>
      <c r="BQ13" s="544"/>
      <c r="BR13" s="544"/>
      <c r="BS13" s="544"/>
      <c r="BT13" s="544"/>
      <c r="BU13" s="544"/>
      <c r="BV13" s="544"/>
      <c r="BW13" s="544"/>
      <c r="BX13" s="544"/>
      <c r="BY13" s="544"/>
      <c r="BZ13" s="544"/>
      <c r="CA13" s="544"/>
      <c r="CB13" s="544"/>
      <c r="CC13" s="544"/>
      <c r="CD13" s="544"/>
      <c r="CE13" s="544"/>
      <c r="CF13" s="544"/>
      <c r="CG13" s="544"/>
      <c r="CH13" s="544"/>
      <c r="CI13" s="544"/>
      <c r="CJ13" s="544"/>
      <c r="CK13" s="544"/>
      <c r="CL13" s="544"/>
      <c r="CM13" s="544"/>
      <c r="CN13" s="544"/>
      <c r="CO13" s="544"/>
      <c r="CP13" s="544"/>
      <c r="CQ13" s="544"/>
      <c r="CR13" s="544"/>
      <c r="CS13" s="544"/>
      <c r="CT13" s="544"/>
      <c r="CU13" s="544"/>
      <c r="CV13" s="544"/>
      <c r="CW13" s="544"/>
      <c r="CX13" s="544"/>
      <c r="CY13" s="544"/>
      <c r="CZ13" s="544"/>
      <c r="DA13" s="544"/>
      <c r="DB13" s="544"/>
      <c r="DC13" s="544"/>
      <c r="DD13" s="544"/>
      <c r="DE13" s="544"/>
      <c r="DF13" s="544"/>
      <c r="DG13" s="544"/>
      <c r="DH13" s="544"/>
      <c r="DI13" s="544"/>
      <c r="DJ13" s="544"/>
      <c r="DK13" s="544"/>
      <c r="DL13" s="544"/>
      <c r="DM13" s="544"/>
      <c r="DN13" s="544"/>
      <c r="DO13" s="544"/>
      <c r="DP13" s="544"/>
      <c r="DQ13" s="544"/>
      <c r="DR13" s="544"/>
      <c r="DS13" s="544"/>
      <c r="DT13" s="544"/>
      <c r="DU13" s="544"/>
      <c r="DV13" s="544"/>
      <c r="DW13" s="544"/>
      <c r="DX13" s="544"/>
      <c r="DY13" s="544"/>
      <c r="DZ13" s="544"/>
      <c r="EA13" s="544"/>
      <c r="EB13" s="544"/>
      <c r="EC13" s="544"/>
      <c r="ED13" s="544"/>
      <c r="EE13" s="544"/>
      <c r="EF13" s="544"/>
      <c r="EG13" s="544"/>
      <c r="EH13" s="544"/>
      <c r="EI13" s="544"/>
      <c r="EJ13" s="544"/>
      <c r="EK13" s="544"/>
      <c r="EL13" s="544"/>
      <c r="EM13" s="544"/>
      <c r="EN13" s="544"/>
      <c r="EO13" s="544"/>
      <c r="EP13" s="544"/>
      <c r="EQ13" s="544"/>
      <c r="ER13" s="544"/>
      <c r="ES13" s="544"/>
      <c r="ET13" s="544"/>
      <c r="EU13" s="544"/>
      <c r="EV13" s="544"/>
      <c r="EW13" s="544"/>
      <c r="EX13" s="544"/>
      <c r="EY13" s="544"/>
      <c r="EZ13" s="544"/>
      <c r="FA13" s="544"/>
      <c r="FB13" s="544"/>
      <c r="FC13" s="544"/>
      <c r="FD13" s="544"/>
      <c r="FE13" s="544"/>
      <c r="FF13" s="544"/>
      <c r="FG13" s="544"/>
      <c r="FH13" s="544"/>
      <c r="FI13" s="544"/>
      <c r="FJ13" s="544"/>
      <c r="FK13" s="544"/>
      <c r="FL13" s="544"/>
      <c r="FM13" s="544"/>
      <c r="FN13" s="544"/>
      <c r="FO13" s="544"/>
      <c r="FP13" s="544"/>
      <c r="FQ13" s="544"/>
      <c r="FR13" s="544"/>
      <c r="FS13" s="544"/>
      <c r="FT13" s="544"/>
      <c r="FU13" s="544"/>
      <c r="FV13" s="544"/>
      <c r="FW13" s="544"/>
      <c r="FX13" s="544"/>
      <c r="FY13" s="544"/>
      <c r="FZ13" s="544"/>
      <c r="GA13" s="544"/>
      <c r="GB13" s="544"/>
      <c r="GC13" s="544"/>
      <c r="GD13" s="544"/>
      <c r="GE13" s="544"/>
      <c r="GF13" s="544"/>
      <c r="GG13" s="544"/>
      <c r="GH13" s="544"/>
      <c r="GI13" s="544"/>
      <c r="GJ13" s="544"/>
      <c r="GK13" s="544"/>
      <c r="GL13" s="544"/>
      <c r="GM13" s="544"/>
      <c r="GN13" s="544"/>
      <c r="GO13" s="544"/>
      <c r="GP13" s="544"/>
      <c r="GQ13" s="544"/>
      <c r="GR13" s="544"/>
      <c r="GS13" s="544"/>
      <c r="GT13" s="544"/>
      <c r="GU13" s="544"/>
      <c r="GV13" s="544"/>
      <c r="GW13" s="544"/>
      <c r="GX13" s="544"/>
      <c r="GY13" s="544"/>
      <c r="GZ13" s="544"/>
      <c r="HA13" s="544"/>
      <c r="HB13" s="544"/>
      <c r="HC13" s="544"/>
      <c r="HD13" s="544"/>
      <c r="HE13" s="544"/>
      <c r="HF13" s="544"/>
      <c r="HG13" s="544"/>
      <c r="HH13" s="544"/>
      <c r="HI13" s="544"/>
      <c r="HJ13" s="544"/>
      <c r="HK13" s="544"/>
      <c r="HL13" s="544"/>
      <c r="HM13" s="544"/>
      <c r="HN13" s="544"/>
      <c r="HO13" s="544"/>
      <c r="HP13" s="544"/>
      <c r="HQ13" s="544"/>
      <c r="HR13" s="544"/>
      <c r="HS13" s="544"/>
      <c r="HT13" s="544"/>
      <c r="HU13" s="544"/>
      <c r="HV13" s="544"/>
      <c r="HW13" s="544"/>
      <c r="HX13" s="544"/>
      <c r="HY13" s="544"/>
      <c r="HZ13" s="544"/>
      <c r="IA13" s="544"/>
      <c r="IB13" s="544"/>
      <c r="IC13" s="544"/>
      <c r="ID13" s="544"/>
      <c r="IE13" s="544"/>
      <c r="IF13" s="544"/>
      <c r="IG13" s="544"/>
      <c r="IH13" s="544"/>
      <c r="II13" s="544"/>
      <c r="IJ13" s="544"/>
      <c r="IK13" s="544"/>
      <c r="IL13" s="544"/>
      <c r="IM13" s="544"/>
      <c r="IN13" s="544"/>
      <c r="IO13" s="544"/>
      <c r="IP13" s="544"/>
      <c r="IQ13" s="544"/>
      <c r="IR13" s="544"/>
      <c r="IS13" s="544"/>
      <c r="IT13" s="544"/>
      <c r="IU13" s="544"/>
      <c r="IV13" s="544"/>
    </row>
    <row r="14" spans="1:256" s="575" customFormat="1" ht="14.85" customHeight="1">
      <c r="A14" s="941"/>
      <c r="B14" s="944"/>
      <c r="C14" s="947"/>
      <c r="D14" s="947"/>
      <c r="E14" s="944"/>
      <c r="F14" s="947"/>
      <c r="G14" s="797" t="s">
        <v>1121</v>
      </c>
      <c r="H14" s="797" t="s">
        <v>1121</v>
      </c>
      <c r="I14" s="947"/>
      <c r="J14" s="968"/>
      <c r="K14" s="960"/>
      <c r="L14" s="960"/>
      <c r="M14" s="960"/>
      <c r="N14" s="962"/>
      <c r="O14" s="960"/>
      <c r="P14" s="960"/>
      <c r="Q14" s="964"/>
      <c r="R14" s="960"/>
      <c r="S14" s="960"/>
      <c r="T14" s="961"/>
      <c r="U14" s="962"/>
      <c r="V14" s="960"/>
      <c r="W14" s="961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4"/>
      <c r="BG14" s="544"/>
      <c r="BH14" s="544"/>
      <c r="BI14" s="544"/>
      <c r="BJ14" s="544"/>
      <c r="BK14" s="544"/>
      <c r="BL14" s="544"/>
      <c r="BM14" s="544"/>
      <c r="BN14" s="544"/>
      <c r="BO14" s="544"/>
      <c r="BP14" s="544"/>
      <c r="BQ14" s="544"/>
      <c r="BR14" s="544"/>
      <c r="BS14" s="544"/>
      <c r="BT14" s="544"/>
      <c r="BU14" s="544"/>
      <c r="BV14" s="544"/>
      <c r="BW14" s="544"/>
      <c r="BX14" s="544"/>
      <c r="BY14" s="544"/>
      <c r="BZ14" s="544"/>
      <c r="CA14" s="544"/>
      <c r="CB14" s="544"/>
      <c r="CC14" s="544"/>
      <c r="CD14" s="544"/>
      <c r="CE14" s="544"/>
      <c r="CF14" s="544"/>
      <c r="CG14" s="544"/>
      <c r="CH14" s="544"/>
      <c r="CI14" s="544"/>
      <c r="CJ14" s="544"/>
      <c r="CK14" s="544"/>
      <c r="CL14" s="544"/>
      <c r="CM14" s="544"/>
      <c r="CN14" s="544"/>
      <c r="CO14" s="544"/>
      <c r="CP14" s="544"/>
      <c r="CQ14" s="544"/>
      <c r="CR14" s="544"/>
      <c r="CS14" s="544"/>
      <c r="CT14" s="544"/>
      <c r="CU14" s="544"/>
      <c r="CV14" s="544"/>
      <c r="CW14" s="544"/>
      <c r="CX14" s="544"/>
      <c r="CY14" s="544"/>
      <c r="CZ14" s="544"/>
      <c r="DA14" s="544"/>
      <c r="DB14" s="544"/>
      <c r="DC14" s="544"/>
      <c r="DD14" s="544"/>
      <c r="DE14" s="544"/>
      <c r="DF14" s="544"/>
      <c r="DG14" s="544"/>
      <c r="DH14" s="544"/>
      <c r="DI14" s="544"/>
      <c r="DJ14" s="544"/>
      <c r="DK14" s="544"/>
      <c r="DL14" s="544"/>
      <c r="DM14" s="544"/>
      <c r="DN14" s="544"/>
      <c r="DO14" s="544"/>
      <c r="DP14" s="544"/>
      <c r="DQ14" s="544"/>
      <c r="DR14" s="544"/>
      <c r="DS14" s="544"/>
      <c r="DT14" s="544"/>
      <c r="DU14" s="544"/>
      <c r="DV14" s="544"/>
      <c r="DW14" s="544"/>
      <c r="DX14" s="544"/>
      <c r="DY14" s="544"/>
      <c r="DZ14" s="544"/>
      <c r="EA14" s="544"/>
      <c r="EB14" s="544"/>
      <c r="EC14" s="544"/>
      <c r="ED14" s="544"/>
      <c r="EE14" s="544"/>
      <c r="EF14" s="544"/>
      <c r="EG14" s="544"/>
      <c r="EH14" s="544"/>
      <c r="EI14" s="544"/>
      <c r="EJ14" s="544"/>
      <c r="EK14" s="544"/>
      <c r="EL14" s="544"/>
      <c r="EM14" s="544"/>
      <c r="EN14" s="544"/>
      <c r="EO14" s="544"/>
      <c r="EP14" s="544"/>
      <c r="EQ14" s="544"/>
      <c r="ER14" s="544"/>
      <c r="ES14" s="544"/>
      <c r="ET14" s="544"/>
      <c r="EU14" s="544"/>
      <c r="EV14" s="544"/>
      <c r="EW14" s="544"/>
      <c r="EX14" s="544"/>
      <c r="EY14" s="544"/>
      <c r="EZ14" s="544"/>
      <c r="FA14" s="544"/>
      <c r="FB14" s="544"/>
      <c r="FC14" s="544"/>
      <c r="FD14" s="544"/>
      <c r="FE14" s="544"/>
      <c r="FF14" s="544"/>
      <c r="FG14" s="544"/>
      <c r="FH14" s="544"/>
      <c r="FI14" s="544"/>
      <c r="FJ14" s="544"/>
      <c r="FK14" s="544"/>
      <c r="FL14" s="544"/>
      <c r="FM14" s="544"/>
      <c r="FN14" s="544"/>
      <c r="FO14" s="544"/>
      <c r="FP14" s="544"/>
      <c r="FQ14" s="544"/>
      <c r="FR14" s="544"/>
      <c r="FS14" s="544"/>
      <c r="FT14" s="544"/>
      <c r="FU14" s="544"/>
      <c r="FV14" s="544"/>
      <c r="FW14" s="544"/>
      <c r="FX14" s="544"/>
      <c r="FY14" s="544"/>
      <c r="FZ14" s="544"/>
      <c r="GA14" s="544"/>
      <c r="GB14" s="544"/>
      <c r="GC14" s="544"/>
      <c r="GD14" s="544"/>
      <c r="GE14" s="544"/>
      <c r="GF14" s="544"/>
      <c r="GG14" s="544"/>
      <c r="GH14" s="544"/>
      <c r="GI14" s="544"/>
      <c r="GJ14" s="544"/>
      <c r="GK14" s="544"/>
      <c r="GL14" s="544"/>
      <c r="GM14" s="544"/>
      <c r="GN14" s="544"/>
      <c r="GO14" s="544"/>
      <c r="GP14" s="544"/>
      <c r="GQ14" s="544"/>
      <c r="GR14" s="544"/>
      <c r="GS14" s="544"/>
      <c r="GT14" s="544"/>
      <c r="GU14" s="544"/>
      <c r="GV14" s="544"/>
      <c r="GW14" s="544"/>
      <c r="GX14" s="544"/>
      <c r="GY14" s="544"/>
      <c r="GZ14" s="544"/>
      <c r="HA14" s="544"/>
      <c r="HB14" s="544"/>
      <c r="HC14" s="544"/>
      <c r="HD14" s="544"/>
      <c r="HE14" s="544"/>
      <c r="HF14" s="544"/>
      <c r="HG14" s="544"/>
      <c r="HH14" s="544"/>
      <c r="HI14" s="544"/>
      <c r="HJ14" s="544"/>
      <c r="HK14" s="544"/>
      <c r="HL14" s="544"/>
      <c r="HM14" s="544"/>
      <c r="HN14" s="544"/>
      <c r="HO14" s="544"/>
      <c r="HP14" s="544"/>
      <c r="HQ14" s="544"/>
      <c r="HR14" s="544"/>
      <c r="HS14" s="544"/>
      <c r="HT14" s="544"/>
      <c r="HU14" s="544"/>
      <c r="HV14" s="544"/>
      <c r="HW14" s="544"/>
      <c r="HX14" s="544"/>
      <c r="HY14" s="544"/>
      <c r="HZ14" s="544"/>
      <c r="IA14" s="544"/>
      <c r="IB14" s="544"/>
      <c r="IC14" s="544"/>
      <c r="ID14" s="544"/>
      <c r="IE14" s="544"/>
      <c r="IF14" s="544"/>
      <c r="IG14" s="544"/>
      <c r="IH14" s="544"/>
      <c r="II14" s="544"/>
      <c r="IJ14" s="544"/>
      <c r="IK14" s="544"/>
      <c r="IL14" s="544"/>
      <c r="IM14" s="544"/>
      <c r="IN14" s="544"/>
      <c r="IO14" s="544"/>
      <c r="IP14" s="544"/>
      <c r="IQ14" s="544"/>
      <c r="IR14" s="544"/>
      <c r="IS14" s="544"/>
      <c r="IT14" s="544"/>
      <c r="IU14" s="544"/>
      <c r="IV14" s="544"/>
    </row>
    <row r="15" spans="1:256" s="575" customFormat="1" ht="14.85" customHeight="1">
      <c r="A15" s="798">
        <v>1</v>
      </c>
      <c r="B15" s="798">
        <v>2</v>
      </c>
      <c r="C15" s="798">
        <v>3</v>
      </c>
      <c r="D15" s="798">
        <v>4</v>
      </c>
      <c r="E15" s="798">
        <v>5</v>
      </c>
      <c r="F15" s="798">
        <v>6</v>
      </c>
      <c r="G15" s="798">
        <v>7</v>
      </c>
      <c r="H15" s="798">
        <v>8</v>
      </c>
      <c r="I15" s="798" t="s">
        <v>930</v>
      </c>
      <c r="J15" s="798" t="s">
        <v>932</v>
      </c>
      <c r="K15" s="798" t="s">
        <v>933</v>
      </c>
      <c r="L15" s="798">
        <v>11</v>
      </c>
      <c r="M15" s="798">
        <v>12</v>
      </c>
      <c r="N15" s="798" t="s">
        <v>934</v>
      </c>
      <c r="O15" s="798" t="s">
        <v>935</v>
      </c>
      <c r="P15" s="798">
        <v>15</v>
      </c>
      <c r="Q15" s="798">
        <v>16</v>
      </c>
      <c r="R15" s="798" t="s">
        <v>936</v>
      </c>
      <c r="S15" s="798">
        <v>18</v>
      </c>
      <c r="T15" s="798">
        <v>19</v>
      </c>
      <c r="U15" s="798" t="s">
        <v>937</v>
      </c>
      <c r="V15" s="798">
        <v>21</v>
      </c>
      <c r="W15" s="798">
        <v>22</v>
      </c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5"/>
      <c r="AL15" s="545"/>
      <c r="AM15" s="545"/>
      <c r="AN15" s="545"/>
      <c r="AO15" s="545"/>
      <c r="AP15" s="545"/>
      <c r="AQ15" s="545"/>
      <c r="AR15" s="545"/>
      <c r="AS15" s="545"/>
      <c r="AT15" s="545"/>
      <c r="AU15" s="545"/>
      <c r="AV15" s="545"/>
      <c r="AW15" s="545"/>
      <c r="AX15" s="545"/>
      <c r="AY15" s="545"/>
      <c r="AZ15" s="545"/>
      <c r="BA15" s="545"/>
      <c r="BB15" s="545"/>
      <c r="BC15" s="545"/>
      <c r="BD15" s="545"/>
      <c r="BE15" s="545"/>
      <c r="BF15" s="545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5"/>
      <c r="BV15" s="545"/>
      <c r="BW15" s="545"/>
      <c r="BX15" s="545"/>
      <c r="BY15" s="545"/>
      <c r="BZ15" s="545"/>
      <c r="CA15" s="545"/>
      <c r="CB15" s="545"/>
      <c r="CC15" s="545"/>
      <c r="CD15" s="545"/>
      <c r="CE15" s="545"/>
      <c r="CF15" s="545"/>
      <c r="CG15" s="545"/>
      <c r="CH15" s="545"/>
      <c r="CI15" s="545"/>
      <c r="CJ15" s="545"/>
      <c r="CK15" s="545"/>
      <c r="CL15" s="545"/>
      <c r="CM15" s="545"/>
      <c r="CN15" s="545"/>
      <c r="CO15" s="545"/>
      <c r="CP15" s="545"/>
      <c r="CQ15" s="545"/>
      <c r="CR15" s="545"/>
      <c r="CS15" s="545"/>
      <c r="CT15" s="545"/>
      <c r="CU15" s="545"/>
      <c r="CV15" s="545"/>
      <c r="CW15" s="545"/>
      <c r="CX15" s="545"/>
      <c r="CY15" s="545"/>
      <c r="CZ15" s="545"/>
      <c r="DA15" s="545"/>
      <c r="DB15" s="545"/>
      <c r="DC15" s="545"/>
      <c r="DD15" s="545"/>
      <c r="DE15" s="545"/>
      <c r="DF15" s="545"/>
      <c r="DG15" s="545"/>
      <c r="DH15" s="545"/>
      <c r="DI15" s="545"/>
      <c r="DJ15" s="545"/>
      <c r="DK15" s="545"/>
      <c r="DL15" s="545"/>
      <c r="DM15" s="545"/>
      <c r="DN15" s="545"/>
      <c r="DO15" s="545"/>
      <c r="DP15" s="545"/>
      <c r="DQ15" s="545"/>
      <c r="DR15" s="545"/>
      <c r="DS15" s="545"/>
      <c r="DT15" s="545"/>
      <c r="DU15" s="545"/>
      <c r="DV15" s="545"/>
      <c r="DW15" s="545"/>
      <c r="DX15" s="545"/>
      <c r="DY15" s="545"/>
      <c r="DZ15" s="545"/>
      <c r="EA15" s="545"/>
      <c r="EB15" s="545"/>
      <c r="EC15" s="545"/>
      <c r="ED15" s="545"/>
      <c r="EE15" s="545"/>
      <c r="EF15" s="545"/>
      <c r="EG15" s="545"/>
      <c r="EH15" s="545"/>
      <c r="EI15" s="545"/>
      <c r="EJ15" s="545"/>
      <c r="EK15" s="545"/>
      <c r="EL15" s="545"/>
      <c r="EM15" s="545"/>
      <c r="EN15" s="545"/>
      <c r="EO15" s="545"/>
      <c r="EP15" s="545"/>
      <c r="EQ15" s="545"/>
      <c r="ER15" s="545"/>
      <c r="ES15" s="545"/>
      <c r="ET15" s="545"/>
      <c r="EU15" s="545"/>
      <c r="EV15" s="545"/>
      <c r="EW15" s="545"/>
      <c r="EX15" s="545"/>
      <c r="EY15" s="545"/>
      <c r="EZ15" s="545"/>
      <c r="FA15" s="545"/>
      <c r="FB15" s="545"/>
      <c r="FC15" s="545"/>
      <c r="FD15" s="545"/>
      <c r="FE15" s="545"/>
      <c r="FF15" s="545"/>
      <c r="FG15" s="545"/>
      <c r="FH15" s="545"/>
      <c r="FI15" s="545"/>
      <c r="FJ15" s="545"/>
      <c r="FK15" s="545"/>
      <c r="FL15" s="545"/>
      <c r="FM15" s="545"/>
      <c r="FN15" s="545"/>
      <c r="FO15" s="545"/>
      <c r="FP15" s="545"/>
      <c r="FQ15" s="545"/>
      <c r="FR15" s="545"/>
      <c r="FS15" s="545"/>
      <c r="FT15" s="545"/>
      <c r="FU15" s="545"/>
      <c r="FV15" s="545"/>
      <c r="FW15" s="545"/>
      <c r="FX15" s="545"/>
      <c r="FY15" s="545"/>
      <c r="FZ15" s="545"/>
      <c r="GA15" s="545"/>
      <c r="GB15" s="545"/>
      <c r="GC15" s="545"/>
      <c r="GD15" s="545"/>
      <c r="GE15" s="545"/>
      <c r="GF15" s="545"/>
      <c r="GG15" s="545"/>
      <c r="GH15" s="545"/>
      <c r="GI15" s="545"/>
      <c r="GJ15" s="545"/>
      <c r="GK15" s="545"/>
      <c r="GL15" s="545"/>
      <c r="GM15" s="545"/>
      <c r="GN15" s="545"/>
      <c r="GO15" s="545"/>
      <c r="GP15" s="545"/>
      <c r="GQ15" s="545"/>
      <c r="GR15" s="545"/>
      <c r="GS15" s="545"/>
      <c r="GT15" s="545"/>
      <c r="GU15" s="545"/>
      <c r="GV15" s="545"/>
      <c r="GW15" s="545"/>
      <c r="GX15" s="545"/>
      <c r="GY15" s="545"/>
      <c r="GZ15" s="545"/>
      <c r="HA15" s="545"/>
      <c r="HB15" s="545"/>
      <c r="HC15" s="545"/>
      <c r="HD15" s="545"/>
      <c r="HE15" s="545"/>
      <c r="HF15" s="545"/>
      <c r="HG15" s="545"/>
      <c r="HH15" s="545"/>
      <c r="HI15" s="545"/>
      <c r="HJ15" s="545"/>
      <c r="HK15" s="545"/>
      <c r="HL15" s="545"/>
      <c r="HM15" s="545"/>
      <c r="HN15" s="545"/>
      <c r="HO15" s="545"/>
      <c r="HP15" s="545"/>
      <c r="HQ15" s="545"/>
      <c r="HR15" s="545"/>
      <c r="HS15" s="545"/>
      <c r="HT15" s="545"/>
      <c r="HU15" s="545"/>
      <c r="HV15" s="545"/>
      <c r="HW15" s="545"/>
      <c r="HX15" s="545"/>
      <c r="HY15" s="545"/>
      <c r="HZ15" s="545"/>
      <c r="IA15" s="545"/>
      <c r="IB15" s="545"/>
      <c r="IC15" s="545"/>
      <c r="ID15" s="545"/>
      <c r="IE15" s="545"/>
      <c r="IF15" s="545"/>
      <c r="IG15" s="545"/>
      <c r="IH15" s="545"/>
      <c r="II15" s="545"/>
      <c r="IJ15" s="545"/>
      <c r="IK15" s="545"/>
      <c r="IL15" s="545"/>
      <c r="IM15" s="545"/>
      <c r="IN15" s="545"/>
      <c r="IO15" s="545"/>
      <c r="IP15" s="545"/>
      <c r="IQ15" s="545"/>
      <c r="IR15" s="545"/>
      <c r="IS15" s="545"/>
      <c r="IT15" s="545"/>
      <c r="IU15" s="545"/>
      <c r="IV15" s="545"/>
    </row>
    <row r="16" spans="1:256" s="575" customFormat="1" ht="4.5" customHeight="1">
      <c r="A16" s="963"/>
      <c r="B16" s="963"/>
      <c r="C16" s="963"/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  <c r="AL16" s="545"/>
      <c r="AM16" s="545"/>
      <c r="AN16" s="545"/>
      <c r="AO16" s="545"/>
      <c r="AP16" s="545"/>
      <c r="AQ16" s="545"/>
      <c r="AR16" s="545"/>
      <c r="AS16" s="545"/>
      <c r="AT16" s="545"/>
      <c r="AU16" s="545"/>
      <c r="AV16" s="545"/>
      <c r="AW16" s="545"/>
      <c r="AX16" s="545"/>
      <c r="AY16" s="545"/>
      <c r="AZ16" s="545"/>
      <c r="BA16" s="545"/>
      <c r="BB16" s="545"/>
      <c r="BC16" s="545"/>
      <c r="BD16" s="545"/>
      <c r="BE16" s="545"/>
      <c r="BF16" s="545"/>
      <c r="BG16" s="545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5"/>
      <c r="BZ16" s="545"/>
      <c r="CA16" s="545"/>
      <c r="CB16" s="545"/>
      <c r="CC16" s="545"/>
      <c r="CD16" s="545"/>
      <c r="CE16" s="545"/>
      <c r="CF16" s="545"/>
      <c r="CG16" s="545"/>
      <c r="CH16" s="545"/>
      <c r="CI16" s="545"/>
      <c r="CJ16" s="545"/>
      <c r="CK16" s="545"/>
      <c r="CL16" s="545"/>
      <c r="CM16" s="545"/>
      <c r="CN16" s="545"/>
      <c r="CO16" s="545"/>
      <c r="CP16" s="545"/>
      <c r="CQ16" s="545"/>
      <c r="CR16" s="545"/>
      <c r="CS16" s="545"/>
      <c r="CT16" s="545"/>
      <c r="CU16" s="545"/>
      <c r="CV16" s="545"/>
      <c r="CW16" s="545"/>
      <c r="CX16" s="545"/>
      <c r="CY16" s="545"/>
      <c r="CZ16" s="545"/>
      <c r="DA16" s="545"/>
      <c r="DB16" s="545"/>
      <c r="DC16" s="545"/>
      <c r="DD16" s="545"/>
      <c r="DE16" s="545"/>
      <c r="DF16" s="545"/>
      <c r="DG16" s="545"/>
      <c r="DH16" s="545"/>
      <c r="DI16" s="545"/>
      <c r="DJ16" s="545"/>
      <c r="DK16" s="545"/>
      <c r="DL16" s="545"/>
      <c r="DM16" s="545"/>
      <c r="DN16" s="545"/>
      <c r="DO16" s="545"/>
      <c r="DP16" s="545"/>
      <c r="DQ16" s="545"/>
      <c r="DR16" s="545"/>
      <c r="DS16" s="545"/>
      <c r="DT16" s="545"/>
      <c r="DU16" s="545"/>
      <c r="DV16" s="545"/>
      <c r="DW16" s="545"/>
      <c r="DX16" s="545"/>
      <c r="DY16" s="545"/>
      <c r="DZ16" s="545"/>
      <c r="EA16" s="545"/>
      <c r="EB16" s="545"/>
      <c r="EC16" s="545"/>
      <c r="ED16" s="545"/>
      <c r="EE16" s="545"/>
      <c r="EF16" s="545"/>
      <c r="EG16" s="545"/>
      <c r="EH16" s="545"/>
      <c r="EI16" s="545"/>
      <c r="EJ16" s="545"/>
      <c r="EK16" s="545"/>
      <c r="EL16" s="545"/>
      <c r="EM16" s="545"/>
      <c r="EN16" s="545"/>
      <c r="EO16" s="545"/>
      <c r="EP16" s="545"/>
      <c r="EQ16" s="545"/>
      <c r="ER16" s="545"/>
      <c r="ES16" s="545"/>
      <c r="ET16" s="545"/>
      <c r="EU16" s="545"/>
      <c r="EV16" s="545"/>
      <c r="EW16" s="545"/>
      <c r="EX16" s="545"/>
      <c r="EY16" s="545"/>
      <c r="EZ16" s="545"/>
      <c r="FA16" s="545"/>
      <c r="FB16" s="545"/>
      <c r="FC16" s="545"/>
      <c r="FD16" s="545"/>
      <c r="FE16" s="545"/>
      <c r="FF16" s="545"/>
      <c r="FG16" s="545"/>
      <c r="FH16" s="545"/>
      <c r="FI16" s="545"/>
      <c r="FJ16" s="545"/>
      <c r="FK16" s="545"/>
      <c r="FL16" s="545"/>
      <c r="FM16" s="545"/>
      <c r="FN16" s="545"/>
      <c r="FO16" s="545"/>
      <c r="FP16" s="545"/>
      <c r="FQ16" s="545"/>
      <c r="FR16" s="545"/>
      <c r="FS16" s="545"/>
      <c r="FT16" s="545"/>
      <c r="FU16" s="545"/>
      <c r="FV16" s="545"/>
      <c r="FW16" s="545"/>
      <c r="FX16" s="545"/>
      <c r="FY16" s="545"/>
      <c r="FZ16" s="545"/>
      <c r="GA16" s="545"/>
      <c r="GB16" s="545"/>
      <c r="GC16" s="545"/>
      <c r="GD16" s="545"/>
      <c r="GE16" s="545"/>
      <c r="GF16" s="545"/>
      <c r="GG16" s="545"/>
      <c r="GH16" s="545"/>
      <c r="GI16" s="545"/>
      <c r="GJ16" s="545"/>
      <c r="GK16" s="545"/>
      <c r="GL16" s="545"/>
      <c r="GM16" s="545"/>
      <c r="GN16" s="545"/>
      <c r="GO16" s="545"/>
      <c r="GP16" s="545"/>
      <c r="GQ16" s="545"/>
      <c r="GR16" s="545"/>
      <c r="GS16" s="545"/>
      <c r="GT16" s="545"/>
      <c r="GU16" s="545"/>
      <c r="GV16" s="545"/>
      <c r="GW16" s="545"/>
      <c r="GX16" s="545"/>
      <c r="GY16" s="545"/>
      <c r="GZ16" s="545"/>
      <c r="HA16" s="545"/>
      <c r="HB16" s="545"/>
      <c r="HC16" s="545"/>
      <c r="HD16" s="545"/>
      <c r="HE16" s="545"/>
      <c r="HF16" s="545"/>
      <c r="HG16" s="545"/>
      <c r="HH16" s="545"/>
      <c r="HI16" s="545"/>
      <c r="HJ16" s="545"/>
      <c r="HK16" s="545"/>
      <c r="HL16" s="545"/>
      <c r="HM16" s="545"/>
      <c r="HN16" s="545"/>
      <c r="HO16" s="545"/>
      <c r="HP16" s="545"/>
      <c r="HQ16" s="545"/>
      <c r="HR16" s="545"/>
      <c r="HS16" s="545"/>
      <c r="HT16" s="545"/>
      <c r="HU16" s="545"/>
      <c r="HV16" s="545"/>
      <c r="HW16" s="545"/>
      <c r="HX16" s="545"/>
      <c r="HY16" s="545"/>
      <c r="HZ16" s="545"/>
      <c r="IA16" s="545"/>
      <c r="IB16" s="545"/>
      <c r="IC16" s="545"/>
      <c r="ID16" s="545"/>
      <c r="IE16" s="545"/>
      <c r="IF16" s="545"/>
      <c r="IG16" s="545"/>
      <c r="IH16" s="545"/>
      <c r="II16" s="545"/>
      <c r="IJ16" s="545"/>
      <c r="IK16" s="545"/>
      <c r="IL16" s="545"/>
      <c r="IM16" s="545"/>
      <c r="IN16" s="545"/>
      <c r="IO16" s="545"/>
      <c r="IP16" s="545"/>
      <c r="IQ16" s="545"/>
      <c r="IR16" s="545"/>
      <c r="IS16" s="545"/>
      <c r="IT16" s="545"/>
      <c r="IU16" s="545"/>
      <c r="IV16" s="545"/>
    </row>
    <row r="17" spans="1:256" s="575" customFormat="1" ht="15" customHeight="1">
      <c r="A17" s="1023" t="s">
        <v>1122</v>
      </c>
      <c r="B17" s="1023"/>
      <c r="C17" s="1023"/>
      <c r="D17" s="1023"/>
      <c r="E17" s="1023"/>
      <c r="F17" s="1023"/>
      <c r="G17" s="1023"/>
      <c r="H17" s="1023"/>
      <c r="I17" s="1023"/>
      <c r="J17" s="1023"/>
      <c r="K17" s="1023"/>
      <c r="L17" s="1023"/>
      <c r="M17" s="1023"/>
      <c r="N17" s="1023"/>
      <c r="O17" s="1023"/>
      <c r="P17" s="1023"/>
      <c r="Q17" s="1023"/>
      <c r="R17" s="1023"/>
      <c r="S17" s="1023"/>
      <c r="T17" s="1023"/>
      <c r="U17" s="1023"/>
      <c r="V17" s="1023"/>
      <c r="W17" s="1023"/>
      <c r="X17" s="546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545"/>
      <c r="AK17" s="545"/>
      <c r="AL17" s="545"/>
      <c r="AM17" s="545"/>
      <c r="AN17" s="545"/>
      <c r="AO17" s="545"/>
      <c r="AP17" s="545"/>
      <c r="AQ17" s="545"/>
      <c r="AR17" s="545"/>
      <c r="AS17" s="545"/>
      <c r="AT17" s="545"/>
      <c r="AU17" s="545"/>
      <c r="AV17" s="545"/>
      <c r="AW17" s="545"/>
      <c r="AX17" s="545"/>
      <c r="AY17" s="545"/>
      <c r="AZ17" s="545"/>
      <c r="BA17" s="545"/>
      <c r="BB17" s="545"/>
      <c r="BC17" s="545"/>
      <c r="BD17" s="545"/>
      <c r="BE17" s="545"/>
      <c r="BF17" s="545"/>
      <c r="BG17" s="545"/>
      <c r="BH17" s="545"/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5"/>
      <c r="BV17" s="545"/>
      <c r="BW17" s="545"/>
      <c r="BX17" s="545"/>
      <c r="BY17" s="545"/>
      <c r="BZ17" s="545"/>
      <c r="CA17" s="545"/>
      <c r="CB17" s="545"/>
      <c r="CC17" s="545"/>
      <c r="CD17" s="545"/>
      <c r="CE17" s="545"/>
      <c r="CF17" s="545"/>
      <c r="CG17" s="545"/>
      <c r="CH17" s="545"/>
      <c r="CI17" s="545"/>
      <c r="CJ17" s="545"/>
      <c r="CK17" s="545"/>
      <c r="CL17" s="545"/>
      <c r="CM17" s="545"/>
      <c r="CN17" s="545"/>
      <c r="CO17" s="545"/>
      <c r="CP17" s="545"/>
      <c r="CQ17" s="545"/>
      <c r="CR17" s="545"/>
      <c r="CS17" s="545"/>
      <c r="CT17" s="545"/>
      <c r="CU17" s="545"/>
      <c r="CV17" s="545"/>
      <c r="CW17" s="545"/>
      <c r="CX17" s="545"/>
      <c r="CY17" s="545"/>
      <c r="CZ17" s="545"/>
      <c r="DA17" s="545"/>
      <c r="DB17" s="545"/>
      <c r="DC17" s="545"/>
      <c r="DD17" s="545"/>
      <c r="DE17" s="545"/>
      <c r="DF17" s="545"/>
      <c r="DG17" s="545"/>
      <c r="DH17" s="545"/>
      <c r="DI17" s="545"/>
      <c r="DJ17" s="545"/>
      <c r="DK17" s="545"/>
      <c r="DL17" s="545"/>
      <c r="DM17" s="545"/>
      <c r="DN17" s="545"/>
      <c r="DO17" s="545"/>
      <c r="DP17" s="545"/>
      <c r="DQ17" s="545"/>
      <c r="DR17" s="545"/>
      <c r="DS17" s="545"/>
      <c r="DT17" s="545"/>
      <c r="DU17" s="545"/>
      <c r="DV17" s="545"/>
      <c r="DW17" s="545"/>
      <c r="DX17" s="545"/>
      <c r="DY17" s="545"/>
      <c r="DZ17" s="545"/>
      <c r="EA17" s="545"/>
      <c r="EB17" s="545"/>
      <c r="EC17" s="545"/>
      <c r="ED17" s="545"/>
      <c r="EE17" s="545"/>
      <c r="EF17" s="545"/>
      <c r="EG17" s="545"/>
      <c r="EH17" s="545"/>
      <c r="EI17" s="545"/>
      <c r="EJ17" s="545"/>
      <c r="EK17" s="545"/>
      <c r="EL17" s="545"/>
      <c r="EM17" s="545"/>
      <c r="EN17" s="545"/>
      <c r="EO17" s="545"/>
      <c r="EP17" s="545"/>
      <c r="EQ17" s="545"/>
      <c r="ER17" s="545"/>
      <c r="ES17" s="545"/>
      <c r="ET17" s="545"/>
      <c r="EU17" s="545"/>
      <c r="EV17" s="545"/>
      <c r="EW17" s="545"/>
      <c r="EX17" s="545"/>
      <c r="EY17" s="545"/>
      <c r="EZ17" s="545"/>
      <c r="FA17" s="545"/>
      <c r="FB17" s="545"/>
      <c r="FC17" s="545"/>
      <c r="FD17" s="545"/>
      <c r="FE17" s="545"/>
      <c r="FF17" s="545"/>
      <c r="FG17" s="545"/>
      <c r="FH17" s="545"/>
      <c r="FI17" s="545"/>
      <c r="FJ17" s="545"/>
      <c r="FK17" s="545"/>
      <c r="FL17" s="545"/>
      <c r="FM17" s="545"/>
      <c r="FN17" s="545"/>
      <c r="FO17" s="545"/>
      <c r="FP17" s="545"/>
      <c r="FQ17" s="545"/>
      <c r="FR17" s="545"/>
      <c r="FS17" s="545"/>
      <c r="FT17" s="545"/>
      <c r="FU17" s="545"/>
      <c r="FV17" s="545"/>
      <c r="FW17" s="545"/>
      <c r="FX17" s="545"/>
      <c r="FY17" s="545"/>
      <c r="FZ17" s="545"/>
      <c r="GA17" s="545"/>
      <c r="GB17" s="545"/>
      <c r="GC17" s="545"/>
      <c r="GD17" s="545"/>
      <c r="GE17" s="545"/>
      <c r="GF17" s="545"/>
      <c r="GG17" s="545"/>
      <c r="GH17" s="545"/>
      <c r="GI17" s="545"/>
      <c r="GJ17" s="545"/>
      <c r="GK17" s="545"/>
      <c r="GL17" s="545"/>
      <c r="GM17" s="545"/>
      <c r="GN17" s="545"/>
      <c r="GO17" s="545"/>
      <c r="GP17" s="545"/>
      <c r="GQ17" s="545"/>
      <c r="GR17" s="545"/>
      <c r="GS17" s="545"/>
      <c r="GT17" s="545"/>
      <c r="GU17" s="545"/>
      <c r="GV17" s="545"/>
      <c r="GW17" s="545"/>
      <c r="GX17" s="545"/>
      <c r="GY17" s="545"/>
      <c r="GZ17" s="545"/>
      <c r="HA17" s="545"/>
      <c r="HB17" s="545"/>
      <c r="HC17" s="545"/>
      <c r="HD17" s="545"/>
      <c r="HE17" s="545"/>
      <c r="HF17" s="545"/>
      <c r="HG17" s="545"/>
      <c r="HH17" s="545"/>
      <c r="HI17" s="545"/>
      <c r="HJ17" s="545"/>
      <c r="HK17" s="545"/>
      <c r="HL17" s="545"/>
      <c r="HM17" s="545"/>
      <c r="HN17" s="545"/>
      <c r="HO17" s="545"/>
      <c r="HP17" s="545"/>
      <c r="HQ17" s="545"/>
      <c r="HR17" s="545"/>
      <c r="HS17" s="545"/>
      <c r="HT17" s="545"/>
      <c r="HU17" s="545"/>
      <c r="HV17" s="545"/>
      <c r="HW17" s="545"/>
      <c r="HX17" s="545"/>
      <c r="HY17" s="545"/>
      <c r="HZ17" s="545"/>
      <c r="IA17" s="545"/>
      <c r="IB17" s="545"/>
      <c r="IC17" s="545"/>
      <c r="ID17" s="545"/>
      <c r="IE17" s="545"/>
      <c r="IF17" s="545"/>
      <c r="IG17" s="545"/>
      <c r="IH17" s="545"/>
      <c r="II17" s="545"/>
      <c r="IJ17" s="545"/>
      <c r="IK17" s="545"/>
      <c r="IL17" s="545"/>
      <c r="IM17" s="545"/>
      <c r="IN17" s="545"/>
      <c r="IO17" s="545"/>
      <c r="IP17" s="545"/>
      <c r="IQ17" s="545"/>
      <c r="IR17" s="545"/>
      <c r="IS17" s="545"/>
      <c r="IT17" s="545"/>
      <c r="IU17" s="545"/>
      <c r="IV17" s="545"/>
    </row>
    <row r="18" spans="1:256" s="575" customFormat="1" ht="4.5" customHeight="1">
      <c r="A18" s="953"/>
      <c r="B18" s="953"/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3"/>
      <c r="S18" s="953"/>
      <c r="T18" s="953"/>
      <c r="U18" s="953"/>
      <c r="V18" s="953"/>
      <c r="W18" s="953"/>
      <c r="X18" s="547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  <c r="AJ18" s="545"/>
      <c r="AK18" s="545"/>
      <c r="AL18" s="545"/>
      <c r="AM18" s="545"/>
      <c r="AN18" s="545"/>
      <c r="AO18" s="545"/>
      <c r="AP18" s="545"/>
      <c r="AQ18" s="545"/>
      <c r="AR18" s="545"/>
      <c r="AS18" s="545"/>
      <c r="AT18" s="545"/>
      <c r="AU18" s="545"/>
      <c r="AV18" s="545"/>
      <c r="AW18" s="545"/>
      <c r="AX18" s="545"/>
      <c r="AY18" s="545"/>
      <c r="AZ18" s="545"/>
      <c r="BA18" s="545"/>
      <c r="BB18" s="545"/>
      <c r="BC18" s="545"/>
      <c r="BD18" s="545"/>
      <c r="BE18" s="545"/>
      <c r="BF18" s="545"/>
      <c r="BG18" s="545"/>
      <c r="BH18" s="545"/>
      <c r="BI18" s="545"/>
      <c r="BJ18" s="545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5"/>
      <c r="BV18" s="545"/>
      <c r="BW18" s="545"/>
      <c r="BX18" s="545"/>
      <c r="BY18" s="545"/>
      <c r="BZ18" s="545"/>
      <c r="CA18" s="545"/>
      <c r="CB18" s="545"/>
      <c r="CC18" s="545"/>
      <c r="CD18" s="545"/>
      <c r="CE18" s="545"/>
      <c r="CF18" s="545"/>
      <c r="CG18" s="545"/>
      <c r="CH18" s="545"/>
      <c r="CI18" s="545"/>
      <c r="CJ18" s="545"/>
      <c r="CK18" s="545"/>
      <c r="CL18" s="545"/>
      <c r="CM18" s="545"/>
      <c r="CN18" s="545"/>
      <c r="CO18" s="545"/>
      <c r="CP18" s="545"/>
      <c r="CQ18" s="545"/>
      <c r="CR18" s="545"/>
      <c r="CS18" s="545"/>
      <c r="CT18" s="545"/>
      <c r="CU18" s="545"/>
      <c r="CV18" s="545"/>
      <c r="CW18" s="545"/>
      <c r="CX18" s="545"/>
      <c r="CY18" s="545"/>
      <c r="CZ18" s="545"/>
      <c r="DA18" s="545"/>
      <c r="DB18" s="545"/>
      <c r="DC18" s="545"/>
      <c r="DD18" s="545"/>
      <c r="DE18" s="545"/>
      <c r="DF18" s="545"/>
      <c r="DG18" s="545"/>
      <c r="DH18" s="545"/>
      <c r="DI18" s="545"/>
      <c r="DJ18" s="545"/>
      <c r="DK18" s="545"/>
      <c r="DL18" s="545"/>
      <c r="DM18" s="545"/>
      <c r="DN18" s="545"/>
      <c r="DO18" s="545"/>
      <c r="DP18" s="545"/>
      <c r="DQ18" s="545"/>
      <c r="DR18" s="545"/>
      <c r="DS18" s="545"/>
      <c r="DT18" s="545"/>
      <c r="DU18" s="545"/>
      <c r="DV18" s="545"/>
      <c r="DW18" s="545"/>
      <c r="DX18" s="545"/>
      <c r="DY18" s="545"/>
      <c r="DZ18" s="545"/>
      <c r="EA18" s="545"/>
      <c r="EB18" s="545"/>
      <c r="EC18" s="545"/>
      <c r="ED18" s="545"/>
      <c r="EE18" s="545"/>
      <c r="EF18" s="545"/>
      <c r="EG18" s="545"/>
      <c r="EH18" s="545"/>
      <c r="EI18" s="545"/>
      <c r="EJ18" s="545"/>
      <c r="EK18" s="545"/>
      <c r="EL18" s="545"/>
      <c r="EM18" s="545"/>
      <c r="EN18" s="545"/>
      <c r="EO18" s="545"/>
      <c r="EP18" s="545"/>
      <c r="EQ18" s="545"/>
      <c r="ER18" s="545"/>
      <c r="ES18" s="545"/>
      <c r="ET18" s="545"/>
      <c r="EU18" s="545"/>
      <c r="EV18" s="545"/>
      <c r="EW18" s="545"/>
      <c r="EX18" s="545"/>
      <c r="EY18" s="545"/>
      <c r="EZ18" s="545"/>
      <c r="FA18" s="545"/>
      <c r="FB18" s="545"/>
      <c r="FC18" s="545"/>
      <c r="FD18" s="545"/>
      <c r="FE18" s="545"/>
      <c r="FF18" s="545"/>
      <c r="FG18" s="545"/>
      <c r="FH18" s="545"/>
      <c r="FI18" s="545"/>
      <c r="FJ18" s="545"/>
      <c r="FK18" s="545"/>
      <c r="FL18" s="545"/>
      <c r="FM18" s="545"/>
      <c r="FN18" s="545"/>
      <c r="FO18" s="545"/>
      <c r="FP18" s="545"/>
      <c r="FQ18" s="545"/>
      <c r="FR18" s="545"/>
      <c r="FS18" s="545"/>
      <c r="FT18" s="545"/>
      <c r="FU18" s="545"/>
      <c r="FV18" s="545"/>
      <c r="FW18" s="545"/>
      <c r="FX18" s="545"/>
      <c r="FY18" s="545"/>
      <c r="FZ18" s="545"/>
      <c r="GA18" s="545"/>
      <c r="GB18" s="545"/>
      <c r="GC18" s="545"/>
      <c r="GD18" s="545"/>
      <c r="GE18" s="545"/>
      <c r="GF18" s="545"/>
      <c r="GG18" s="545"/>
      <c r="GH18" s="545"/>
      <c r="GI18" s="545"/>
      <c r="GJ18" s="545"/>
      <c r="GK18" s="545"/>
      <c r="GL18" s="545"/>
      <c r="GM18" s="545"/>
      <c r="GN18" s="545"/>
      <c r="GO18" s="545"/>
      <c r="GP18" s="545"/>
      <c r="GQ18" s="545"/>
      <c r="GR18" s="545"/>
      <c r="GS18" s="545"/>
      <c r="GT18" s="545"/>
      <c r="GU18" s="545"/>
      <c r="GV18" s="545"/>
      <c r="GW18" s="545"/>
      <c r="GX18" s="545"/>
      <c r="GY18" s="545"/>
      <c r="GZ18" s="545"/>
      <c r="HA18" s="545"/>
      <c r="HB18" s="545"/>
      <c r="HC18" s="545"/>
      <c r="HD18" s="545"/>
      <c r="HE18" s="545"/>
      <c r="HF18" s="545"/>
      <c r="HG18" s="545"/>
      <c r="HH18" s="545"/>
      <c r="HI18" s="545"/>
      <c r="HJ18" s="545"/>
      <c r="HK18" s="545"/>
      <c r="HL18" s="545"/>
      <c r="HM18" s="545"/>
      <c r="HN18" s="545"/>
      <c r="HO18" s="545"/>
      <c r="HP18" s="545"/>
      <c r="HQ18" s="545"/>
      <c r="HR18" s="545"/>
      <c r="HS18" s="545"/>
      <c r="HT18" s="545"/>
      <c r="HU18" s="545"/>
      <c r="HV18" s="545"/>
      <c r="HW18" s="545"/>
      <c r="HX18" s="545"/>
      <c r="HY18" s="545"/>
      <c r="HZ18" s="545"/>
      <c r="IA18" s="545"/>
      <c r="IB18" s="545"/>
      <c r="IC18" s="545"/>
      <c r="ID18" s="545"/>
      <c r="IE18" s="545"/>
      <c r="IF18" s="545"/>
      <c r="IG18" s="545"/>
      <c r="IH18" s="545"/>
      <c r="II18" s="545"/>
      <c r="IJ18" s="545"/>
      <c r="IK18" s="545"/>
      <c r="IL18" s="545"/>
      <c r="IM18" s="545"/>
      <c r="IN18" s="545"/>
      <c r="IO18" s="545"/>
      <c r="IP18" s="545"/>
      <c r="IQ18" s="545"/>
      <c r="IR18" s="545"/>
      <c r="IS18" s="545"/>
      <c r="IT18" s="545"/>
      <c r="IU18" s="545"/>
      <c r="IV18" s="545"/>
    </row>
    <row r="19" spans="1:256" s="575" customFormat="1" ht="14.85" hidden="1" customHeight="1">
      <c r="A19" s="955">
        <v>1</v>
      </c>
      <c r="B19" s="955" t="s">
        <v>1123</v>
      </c>
      <c r="C19" s="1025" t="s">
        <v>1124</v>
      </c>
      <c r="D19" s="954" t="s">
        <v>236</v>
      </c>
      <c r="E19" s="1028" t="s">
        <v>1125</v>
      </c>
      <c r="F19" s="955" t="s">
        <v>1126</v>
      </c>
      <c r="G19" s="576">
        <f>G20+G21+G22+G23</f>
        <v>10902616</v>
      </c>
      <c r="H19" s="576">
        <f>H20+H21+H22+H23</f>
        <v>9347616</v>
      </c>
      <c r="I19" s="958" t="s">
        <v>13</v>
      </c>
      <c r="J19" s="1024">
        <f>K19+N19</f>
        <v>1555000</v>
      </c>
      <c r="K19" s="1024">
        <f>L19+M19</f>
        <v>1321750</v>
      </c>
      <c r="L19" s="951">
        <v>1321750</v>
      </c>
      <c r="M19" s="951">
        <v>0</v>
      </c>
      <c r="N19" s="1024">
        <f>O19+R19+U19</f>
        <v>233250</v>
      </c>
      <c r="O19" s="1024">
        <f>P19+Q19</f>
        <v>233250</v>
      </c>
      <c r="P19" s="951">
        <v>233250</v>
      </c>
      <c r="Q19" s="951">
        <v>0</v>
      </c>
      <c r="R19" s="1024">
        <f>S19+T19</f>
        <v>0</v>
      </c>
      <c r="S19" s="951">
        <v>0</v>
      </c>
      <c r="T19" s="951">
        <v>0</v>
      </c>
      <c r="U19" s="1024">
        <f>V19+W19</f>
        <v>0</v>
      </c>
      <c r="V19" s="951">
        <v>0</v>
      </c>
      <c r="W19" s="951">
        <v>0</v>
      </c>
    </row>
    <row r="20" spans="1:256" s="575" customFormat="1" ht="14.85" hidden="1" customHeight="1">
      <c r="A20" s="955"/>
      <c r="B20" s="955"/>
      <c r="C20" s="1026"/>
      <c r="D20" s="954"/>
      <c r="E20" s="1028"/>
      <c r="F20" s="955"/>
      <c r="G20" s="576">
        <v>9267191</v>
      </c>
      <c r="H20" s="576">
        <v>7945441</v>
      </c>
      <c r="I20" s="959"/>
      <c r="J20" s="1024"/>
      <c r="K20" s="1024"/>
      <c r="L20" s="951"/>
      <c r="M20" s="951"/>
      <c r="N20" s="1024"/>
      <c r="O20" s="1024"/>
      <c r="P20" s="951"/>
      <c r="Q20" s="951"/>
      <c r="R20" s="1024"/>
      <c r="S20" s="951"/>
      <c r="T20" s="951"/>
      <c r="U20" s="1024"/>
      <c r="V20" s="951"/>
      <c r="W20" s="951"/>
    </row>
    <row r="21" spans="1:256" s="575" customFormat="1" ht="14.85" hidden="1" customHeight="1">
      <c r="A21" s="955"/>
      <c r="B21" s="955"/>
      <c r="C21" s="1026"/>
      <c r="D21" s="954"/>
      <c r="E21" s="1028"/>
      <c r="F21" s="955"/>
      <c r="G21" s="576">
        <v>1635386</v>
      </c>
      <c r="H21" s="576">
        <v>1402136</v>
      </c>
      <c r="I21" s="548" t="s">
        <v>14</v>
      </c>
      <c r="J21" s="577">
        <f>K21+N21</f>
        <v>0</v>
      </c>
      <c r="K21" s="577">
        <f>L21+M21</f>
        <v>0</v>
      </c>
      <c r="L21" s="551">
        <v>0</v>
      </c>
      <c r="M21" s="551">
        <v>0</v>
      </c>
      <c r="N21" s="577">
        <f>O21+R21+U21</f>
        <v>0</v>
      </c>
      <c r="O21" s="577">
        <f>P21+Q21</f>
        <v>0</v>
      </c>
      <c r="P21" s="551">
        <v>0</v>
      </c>
      <c r="Q21" s="551">
        <v>0</v>
      </c>
      <c r="R21" s="577">
        <f>S21+T21</f>
        <v>0</v>
      </c>
      <c r="S21" s="551">
        <v>0</v>
      </c>
      <c r="T21" s="551">
        <v>0</v>
      </c>
      <c r="U21" s="577">
        <f>V21+W21</f>
        <v>0</v>
      </c>
      <c r="V21" s="551">
        <v>0</v>
      </c>
      <c r="W21" s="551">
        <v>0</v>
      </c>
    </row>
    <row r="22" spans="1:256" s="575" customFormat="1" ht="14.85" hidden="1" customHeight="1">
      <c r="A22" s="955"/>
      <c r="B22" s="955"/>
      <c r="C22" s="1026"/>
      <c r="D22" s="954"/>
      <c r="E22" s="1028"/>
      <c r="F22" s="955"/>
      <c r="G22" s="576">
        <v>39</v>
      </c>
      <c r="H22" s="576">
        <v>39</v>
      </c>
      <c r="I22" s="958" t="s">
        <v>15</v>
      </c>
      <c r="J22" s="1024">
        <f t="shared" ref="J22:W22" si="0">J19+J21</f>
        <v>1555000</v>
      </c>
      <c r="K22" s="1024">
        <f t="shared" si="0"/>
        <v>1321750</v>
      </c>
      <c r="L22" s="951">
        <f t="shared" si="0"/>
        <v>1321750</v>
      </c>
      <c r="M22" s="951">
        <f t="shared" si="0"/>
        <v>0</v>
      </c>
      <c r="N22" s="1024">
        <f t="shared" si="0"/>
        <v>233250</v>
      </c>
      <c r="O22" s="1024">
        <f t="shared" si="0"/>
        <v>233250</v>
      </c>
      <c r="P22" s="951">
        <f t="shared" si="0"/>
        <v>233250</v>
      </c>
      <c r="Q22" s="951">
        <f t="shared" si="0"/>
        <v>0</v>
      </c>
      <c r="R22" s="1024">
        <f t="shared" si="0"/>
        <v>0</v>
      </c>
      <c r="S22" s="951">
        <f t="shared" si="0"/>
        <v>0</v>
      </c>
      <c r="T22" s="951">
        <f t="shared" si="0"/>
        <v>0</v>
      </c>
      <c r="U22" s="1024">
        <f t="shared" si="0"/>
        <v>0</v>
      </c>
      <c r="V22" s="951">
        <f t="shared" si="0"/>
        <v>0</v>
      </c>
      <c r="W22" s="951">
        <f t="shared" si="0"/>
        <v>0</v>
      </c>
    </row>
    <row r="23" spans="1:256" s="575" customFormat="1" ht="14.85" hidden="1" customHeight="1">
      <c r="A23" s="955"/>
      <c r="B23" s="955"/>
      <c r="C23" s="1027"/>
      <c r="D23" s="954"/>
      <c r="E23" s="1028"/>
      <c r="F23" s="955"/>
      <c r="G23" s="576">
        <v>0</v>
      </c>
      <c r="H23" s="576">
        <v>0</v>
      </c>
      <c r="I23" s="959"/>
      <c r="J23" s="1024"/>
      <c r="K23" s="1024"/>
      <c r="L23" s="951"/>
      <c r="M23" s="951"/>
      <c r="N23" s="1024"/>
      <c r="O23" s="1024"/>
      <c r="P23" s="951"/>
      <c r="Q23" s="951"/>
      <c r="R23" s="1024"/>
      <c r="S23" s="951"/>
      <c r="T23" s="951"/>
      <c r="U23" s="1024"/>
      <c r="V23" s="951"/>
      <c r="W23" s="951"/>
    </row>
    <row r="24" spans="1:256" s="575" customFormat="1" ht="14.85" hidden="1" customHeight="1">
      <c r="A24" s="955">
        <v>2</v>
      </c>
      <c r="B24" s="955" t="s">
        <v>1123</v>
      </c>
      <c r="C24" s="1025" t="s">
        <v>1127</v>
      </c>
      <c r="D24" s="954" t="s">
        <v>940</v>
      </c>
      <c r="E24" s="1028" t="s">
        <v>1125</v>
      </c>
      <c r="F24" s="955" t="s">
        <v>1128</v>
      </c>
      <c r="G24" s="576">
        <f>G26+G25+G27+G28</f>
        <v>814900</v>
      </c>
      <c r="H24" s="576">
        <f>H26+H25+H27+H28</f>
        <v>125400</v>
      </c>
      <c r="I24" s="958" t="s">
        <v>13</v>
      </c>
      <c r="J24" s="1024">
        <f t="shared" ref="J24" si="1">K24+N24</f>
        <v>355000</v>
      </c>
      <c r="K24" s="1024">
        <f t="shared" ref="K24" si="2">L24+M24</f>
        <v>271575</v>
      </c>
      <c r="L24" s="951">
        <v>271575</v>
      </c>
      <c r="M24" s="951">
        <v>0</v>
      </c>
      <c r="N24" s="1024">
        <f t="shared" ref="N24" si="3">O24+R24+U24</f>
        <v>83425</v>
      </c>
      <c r="O24" s="1024">
        <f t="shared" ref="O24" si="4">P24+Q24</f>
        <v>47925</v>
      </c>
      <c r="P24" s="951">
        <v>47925</v>
      </c>
      <c r="Q24" s="951">
        <v>0</v>
      </c>
      <c r="R24" s="1024">
        <f t="shared" ref="R24" si="5">S24+T24</f>
        <v>35500</v>
      </c>
      <c r="S24" s="951">
        <v>35500</v>
      </c>
      <c r="T24" s="951">
        <v>0</v>
      </c>
      <c r="U24" s="1024">
        <f t="shared" ref="U24" si="6">V24+W24</f>
        <v>0</v>
      </c>
      <c r="V24" s="951">
        <v>0</v>
      </c>
      <c r="W24" s="951">
        <v>0</v>
      </c>
    </row>
    <row r="25" spans="1:256" s="575" customFormat="1" ht="14.85" hidden="1" customHeight="1">
      <c r="A25" s="955"/>
      <c r="B25" s="955"/>
      <c r="C25" s="1026"/>
      <c r="D25" s="954"/>
      <c r="E25" s="1028"/>
      <c r="F25" s="955"/>
      <c r="G25" s="576">
        <v>623398</v>
      </c>
      <c r="H25" s="576">
        <v>95931</v>
      </c>
      <c r="I25" s="959"/>
      <c r="J25" s="1024"/>
      <c r="K25" s="1024"/>
      <c r="L25" s="951"/>
      <c r="M25" s="951"/>
      <c r="N25" s="1024"/>
      <c r="O25" s="1024"/>
      <c r="P25" s="951"/>
      <c r="Q25" s="951"/>
      <c r="R25" s="1024"/>
      <c r="S25" s="951"/>
      <c r="T25" s="951"/>
      <c r="U25" s="1024"/>
      <c r="V25" s="951"/>
      <c r="W25" s="951"/>
    </row>
    <row r="26" spans="1:256" s="575" customFormat="1" ht="14.85" hidden="1" customHeight="1">
      <c r="A26" s="955"/>
      <c r="B26" s="955"/>
      <c r="C26" s="1026"/>
      <c r="D26" s="954"/>
      <c r="E26" s="1028"/>
      <c r="F26" s="955"/>
      <c r="G26" s="576">
        <v>110012</v>
      </c>
      <c r="H26" s="576">
        <v>16929</v>
      </c>
      <c r="I26" s="548" t="s">
        <v>14</v>
      </c>
      <c r="J26" s="577">
        <f t="shared" ref="J26" si="7">K26+N26</f>
        <v>0</v>
      </c>
      <c r="K26" s="577">
        <f t="shared" ref="K26" si="8">L26+M26</f>
        <v>0</v>
      </c>
      <c r="L26" s="551">
        <v>0</v>
      </c>
      <c r="M26" s="551">
        <v>0</v>
      </c>
      <c r="N26" s="577">
        <f t="shared" ref="N26" si="9">O26+R26+U26</f>
        <v>0</v>
      </c>
      <c r="O26" s="577">
        <f t="shared" ref="O26" si="10">P26+Q26</f>
        <v>0</v>
      </c>
      <c r="P26" s="551">
        <v>0</v>
      </c>
      <c r="Q26" s="551">
        <v>0</v>
      </c>
      <c r="R26" s="577">
        <f t="shared" ref="R26" si="11">S26+T26</f>
        <v>0</v>
      </c>
      <c r="S26" s="551">
        <v>0</v>
      </c>
      <c r="T26" s="551">
        <v>0</v>
      </c>
      <c r="U26" s="577">
        <f t="shared" ref="U26" si="12">V26+W26</f>
        <v>0</v>
      </c>
      <c r="V26" s="551">
        <v>0</v>
      </c>
      <c r="W26" s="551">
        <v>0</v>
      </c>
    </row>
    <row r="27" spans="1:256" s="575" customFormat="1" ht="14.85" hidden="1" customHeight="1">
      <c r="A27" s="955"/>
      <c r="B27" s="955"/>
      <c r="C27" s="1026"/>
      <c r="D27" s="954"/>
      <c r="E27" s="1028"/>
      <c r="F27" s="955"/>
      <c r="G27" s="576">
        <v>81490</v>
      </c>
      <c r="H27" s="576">
        <v>12540</v>
      </c>
      <c r="I27" s="958" t="s">
        <v>15</v>
      </c>
      <c r="J27" s="1024">
        <f t="shared" ref="J27:W27" si="13">J24+J26</f>
        <v>355000</v>
      </c>
      <c r="K27" s="1024">
        <f t="shared" si="13"/>
        <v>271575</v>
      </c>
      <c r="L27" s="951">
        <f t="shared" si="13"/>
        <v>271575</v>
      </c>
      <c r="M27" s="951">
        <f t="shared" si="13"/>
        <v>0</v>
      </c>
      <c r="N27" s="1024">
        <f t="shared" si="13"/>
        <v>83425</v>
      </c>
      <c r="O27" s="1024">
        <f t="shared" si="13"/>
        <v>47925</v>
      </c>
      <c r="P27" s="951">
        <f t="shared" si="13"/>
        <v>47925</v>
      </c>
      <c r="Q27" s="951">
        <f t="shared" si="13"/>
        <v>0</v>
      </c>
      <c r="R27" s="1024">
        <f t="shared" si="13"/>
        <v>35500</v>
      </c>
      <c r="S27" s="951">
        <f t="shared" si="13"/>
        <v>35500</v>
      </c>
      <c r="T27" s="951">
        <f t="shared" si="13"/>
        <v>0</v>
      </c>
      <c r="U27" s="1024">
        <f t="shared" si="13"/>
        <v>0</v>
      </c>
      <c r="V27" s="951">
        <f t="shared" si="13"/>
        <v>0</v>
      </c>
      <c r="W27" s="951">
        <f t="shared" si="13"/>
        <v>0</v>
      </c>
    </row>
    <row r="28" spans="1:256" s="575" customFormat="1" ht="14.85" hidden="1" customHeight="1">
      <c r="A28" s="955"/>
      <c r="B28" s="955"/>
      <c r="C28" s="1027"/>
      <c r="D28" s="954"/>
      <c r="E28" s="1028"/>
      <c r="F28" s="955"/>
      <c r="G28" s="576">
        <v>0</v>
      </c>
      <c r="H28" s="576">
        <v>0</v>
      </c>
      <c r="I28" s="959"/>
      <c r="J28" s="1024"/>
      <c r="K28" s="1024"/>
      <c r="L28" s="951"/>
      <c r="M28" s="951"/>
      <c r="N28" s="1024"/>
      <c r="O28" s="1024"/>
      <c r="P28" s="951"/>
      <c r="Q28" s="951"/>
      <c r="R28" s="1024"/>
      <c r="S28" s="951"/>
      <c r="T28" s="951"/>
      <c r="U28" s="1024"/>
      <c r="V28" s="951"/>
      <c r="W28" s="951"/>
    </row>
    <row r="29" spans="1:256" s="575" customFormat="1" ht="14.85" hidden="1" customHeight="1">
      <c r="A29" s="955">
        <v>3</v>
      </c>
      <c r="B29" s="981" t="s">
        <v>1129</v>
      </c>
      <c r="C29" s="1025" t="s">
        <v>1130</v>
      </c>
      <c r="D29" s="954" t="s">
        <v>1131</v>
      </c>
      <c r="E29" s="1028" t="s">
        <v>1027</v>
      </c>
      <c r="F29" s="955" t="s">
        <v>968</v>
      </c>
      <c r="G29" s="576">
        <f>G30+G31+G32+G33</f>
        <v>9806092</v>
      </c>
      <c r="H29" s="576">
        <f>H30+H31+H32+H33</f>
        <v>5339092</v>
      </c>
      <c r="I29" s="958" t="s">
        <v>13</v>
      </c>
      <c r="J29" s="1024">
        <f t="shared" ref="J29" si="14">K29+N29</f>
        <v>3659000</v>
      </c>
      <c r="K29" s="1024">
        <f t="shared" ref="K29" si="15">L29+M29</f>
        <v>0</v>
      </c>
      <c r="L29" s="951">
        <v>0</v>
      </c>
      <c r="M29" s="951">
        <v>0</v>
      </c>
      <c r="N29" s="1024">
        <f t="shared" ref="N29" si="16">O29+R29+U29</f>
        <v>3659000</v>
      </c>
      <c r="O29" s="1024">
        <f t="shared" ref="O29" si="17">P29+Q29</f>
        <v>3659000</v>
      </c>
      <c r="P29" s="951">
        <v>3659000</v>
      </c>
      <c r="Q29" s="951">
        <v>0</v>
      </c>
      <c r="R29" s="1024">
        <f t="shared" ref="R29" si="18">S29+T29</f>
        <v>0</v>
      </c>
      <c r="S29" s="951">
        <v>0</v>
      </c>
      <c r="T29" s="951">
        <v>0</v>
      </c>
      <c r="U29" s="1024">
        <f t="shared" ref="U29" si="19">V29+W29</f>
        <v>0</v>
      </c>
      <c r="V29" s="951">
        <v>0</v>
      </c>
      <c r="W29" s="951">
        <v>0</v>
      </c>
    </row>
    <row r="30" spans="1:256" s="575" customFormat="1" ht="14.85" hidden="1" customHeight="1">
      <c r="A30" s="955"/>
      <c r="B30" s="982"/>
      <c r="C30" s="1026"/>
      <c r="D30" s="954"/>
      <c r="E30" s="1028"/>
      <c r="F30" s="955"/>
      <c r="G30" s="576">
        <v>0</v>
      </c>
      <c r="H30" s="576">
        <v>0</v>
      </c>
      <c r="I30" s="959"/>
      <c r="J30" s="1024"/>
      <c r="K30" s="1024"/>
      <c r="L30" s="951"/>
      <c r="M30" s="951"/>
      <c r="N30" s="1024"/>
      <c r="O30" s="1024"/>
      <c r="P30" s="951"/>
      <c r="Q30" s="951"/>
      <c r="R30" s="1024"/>
      <c r="S30" s="951"/>
      <c r="T30" s="951"/>
      <c r="U30" s="1024"/>
      <c r="V30" s="951"/>
      <c r="W30" s="951"/>
    </row>
    <row r="31" spans="1:256" s="575" customFormat="1" ht="14.85" hidden="1" customHeight="1">
      <c r="A31" s="955"/>
      <c r="B31" s="982"/>
      <c r="C31" s="1026"/>
      <c r="D31" s="954"/>
      <c r="E31" s="1028"/>
      <c r="F31" s="955"/>
      <c r="G31" s="576">
        <v>9806092</v>
      </c>
      <c r="H31" s="576">
        <v>5339092</v>
      </c>
      <c r="I31" s="548" t="s">
        <v>14</v>
      </c>
      <c r="J31" s="577">
        <f t="shared" ref="J31" si="20">K31+N31</f>
        <v>0</v>
      </c>
      <c r="K31" s="577">
        <f t="shared" ref="K31" si="21">L31+M31</f>
        <v>0</v>
      </c>
      <c r="L31" s="551">
        <v>0</v>
      </c>
      <c r="M31" s="551">
        <v>0</v>
      </c>
      <c r="N31" s="577">
        <f t="shared" ref="N31" si="22">O31+R31+U31</f>
        <v>0</v>
      </c>
      <c r="O31" s="577">
        <f t="shared" ref="O31" si="23">P31+Q31</f>
        <v>0</v>
      </c>
      <c r="P31" s="551">
        <v>0</v>
      </c>
      <c r="Q31" s="551">
        <v>0</v>
      </c>
      <c r="R31" s="577">
        <f t="shared" ref="R31" si="24">S31+T31</f>
        <v>0</v>
      </c>
      <c r="S31" s="551">
        <v>0</v>
      </c>
      <c r="T31" s="551">
        <v>0</v>
      </c>
      <c r="U31" s="577">
        <f t="shared" ref="U31" si="25">V31+W31</f>
        <v>0</v>
      </c>
      <c r="V31" s="551">
        <v>0</v>
      </c>
      <c r="W31" s="551">
        <v>0</v>
      </c>
    </row>
    <row r="32" spans="1:256" s="575" customFormat="1" ht="14.85" hidden="1" customHeight="1">
      <c r="A32" s="955"/>
      <c r="B32" s="982"/>
      <c r="C32" s="1026"/>
      <c r="D32" s="954"/>
      <c r="E32" s="1028"/>
      <c r="F32" s="955"/>
      <c r="G32" s="576">
        <v>0</v>
      </c>
      <c r="H32" s="576">
        <v>0</v>
      </c>
      <c r="I32" s="958" t="s">
        <v>15</v>
      </c>
      <c r="J32" s="1024">
        <f t="shared" ref="J32:W32" si="26">J29+J31</f>
        <v>3659000</v>
      </c>
      <c r="K32" s="1024">
        <f t="shared" si="26"/>
        <v>0</v>
      </c>
      <c r="L32" s="951">
        <f t="shared" si="26"/>
        <v>0</v>
      </c>
      <c r="M32" s="951">
        <f t="shared" si="26"/>
        <v>0</v>
      </c>
      <c r="N32" s="1024">
        <f t="shared" si="26"/>
        <v>3659000</v>
      </c>
      <c r="O32" s="1024">
        <f t="shared" si="26"/>
        <v>3659000</v>
      </c>
      <c r="P32" s="951">
        <f t="shared" si="26"/>
        <v>3659000</v>
      </c>
      <c r="Q32" s="951">
        <f t="shared" si="26"/>
        <v>0</v>
      </c>
      <c r="R32" s="1024">
        <f t="shared" si="26"/>
        <v>0</v>
      </c>
      <c r="S32" s="951">
        <f t="shared" si="26"/>
        <v>0</v>
      </c>
      <c r="T32" s="951">
        <f t="shared" si="26"/>
        <v>0</v>
      </c>
      <c r="U32" s="1024">
        <f t="shared" si="26"/>
        <v>0</v>
      </c>
      <c r="V32" s="951">
        <f t="shared" si="26"/>
        <v>0</v>
      </c>
      <c r="W32" s="951">
        <f t="shared" si="26"/>
        <v>0</v>
      </c>
    </row>
    <row r="33" spans="1:23" s="575" customFormat="1" ht="14.85" hidden="1" customHeight="1">
      <c r="A33" s="955"/>
      <c r="B33" s="983"/>
      <c r="C33" s="1027"/>
      <c r="D33" s="954"/>
      <c r="E33" s="1028"/>
      <c r="F33" s="955"/>
      <c r="G33" s="576">
        <v>0</v>
      </c>
      <c r="H33" s="576">
        <v>0</v>
      </c>
      <c r="I33" s="959"/>
      <c r="J33" s="1024"/>
      <c r="K33" s="1024"/>
      <c r="L33" s="951"/>
      <c r="M33" s="951"/>
      <c r="N33" s="1024"/>
      <c r="O33" s="1024"/>
      <c r="P33" s="951"/>
      <c r="Q33" s="951"/>
      <c r="R33" s="1024"/>
      <c r="S33" s="951"/>
      <c r="T33" s="951"/>
      <c r="U33" s="1024"/>
      <c r="V33" s="951"/>
      <c r="W33" s="951"/>
    </row>
    <row r="34" spans="1:23" s="575" customFormat="1" ht="14.85" hidden="1" customHeight="1">
      <c r="A34" s="955">
        <v>1</v>
      </c>
      <c r="B34" s="981" t="s">
        <v>1132</v>
      </c>
      <c r="C34" s="1025" t="s">
        <v>635</v>
      </c>
      <c r="D34" s="954" t="s">
        <v>1133</v>
      </c>
      <c r="E34" s="1028" t="s">
        <v>1030</v>
      </c>
      <c r="F34" s="955" t="s">
        <v>988</v>
      </c>
      <c r="G34" s="576">
        <f>G36+G35+G37+G38</f>
        <v>29251022</v>
      </c>
      <c r="H34" s="576">
        <f>H36+H35+H37+H38</f>
        <v>16190564</v>
      </c>
      <c r="I34" s="958" t="s">
        <v>13</v>
      </c>
      <c r="J34" s="1024">
        <f t="shared" ref="J34" si="27">K34+N34</f>
        <v>13060458</v>
      </c>
      <c r="K34" s="1024">
        <f t="shared" ref="K34" si="28">L34+M34</f>
        <v>11007355</v>
      </c>
      <c r="L34" s="951">
        <v>11007355</v>
      </c>
      <c r="M34" s="951">
        <v>0</v>
      </c>
      <c r="N34" s="1024">
        <f t="shared" ref="N34" si="29">O34+R34+U34</f>
        <v>2053103</v>
      </c>
      <c r="O34" s="1024">
        <f t="shared" ref="O34" si="30">P34+Q34</f>
        <v>2053103</v>
      </c>
      <c r="P34" s="951">
        <v>2053103</v>
      </c>
      <c r="Q34" s="951">
        <v>0</v>
      </c>
      <c r="R34" s="1024">
        <f t="shared" ref="R34" si="31">S34+T34</f>
        <v>0</v>
      </c>
      <c r="S34" s="951">
        <v>0</v>
      </c>
      <c r="T34" s="951">
        <v>0</v>
      </c>
      <c r="U34" s="1024">
        <f t="shared" ref="U34" si="32">V34+W34</f>
        <v>0</v>
      </c>
      <c r="V34" s="951">
        <v>0</v>
      </c>
      <c r="W34" s="951">
        <v>0</v>
      </c>
    </row>
    <row r="35" spans="1:23" s="575" customFormat="1" ht="14.85" hidden="1" customHeight="1">
      <c r="A35" s="955"/>
      <c r="B35" s="982"/>
      <c r="C35" s="1026"/>
      <c r="D35" s="954"/>
      <c r="E35" s="1028"/>
      <c r="F35" s="955"/>
      <c r="G35" s="576">
        <v>24652761</v>
      </c>
      <c r="H35" s="576">
        <v>13645406</v>
      </c>
      <c r="I35" s="959"/>
      <c r="J35" s="1024"/>
      <c r="K35" s="1024"/>
      <c r="L35" s="951"/>
      <c r="M35" s="951"/>
      <c r="N35" s="1024"/>
      <c r="O35" s="1024"/>
      <c r="P35" s="951"/>
      <c r="Q35" s="951"/>
      <c r="R35" s="1024"/>
      <c r="S35" s="951"/>
      <c r="T35" s="951"/>
      <c r="U35" s="1024"/>
      <c r="V35" s="951"/>
      <c r="W35" s="951"/>
    </row>
    <row r="36" spans="1:23" s="575" customFormat="1" ht="14.85" hidden="1" customHeight="1">
      <c r="A36" s="955"/>
      <c r="B36" s="982"/>
      <c r="C36" s="1026"/>
      <c r="D36" s="954"/>
      <c r="E36" s="1028"/>
      <c r="F36" s="955"/>
      <c r="G36" s="576">
        <v>4598261</v>
      </c>
      <c r="H36" s="576">
        <v>2545158</v>
      </c>
      <c r="I36" s="548" t="s">
        <v>14</v>
      </c>
      <c r="J36" s="577">
        <f t="shared" ref="J36" si="33">K36+N36</f>
        <v>0</v>
      </c>
      <c r="K36" s="577">
        <f t="shared" ref="K36" si="34">L36+M36</f>
        <v>0</v>
      </c>
      <c r="L36" s="551">
        <v>0</v>
      </c>
      <c r="M36" s="551">
        <v>0</v>
      </c>
      <c r="N36" s="577">
        <f t="shared" ref="N36" si="35">O36+R36+U36</f>
        <v>0</v>
      </c>
      <c r="O36" s="577">
        <f t="shared" ref="O36" si="36">P36+Q36</f>
        <v>0</v>
      </c>
      <c r="P36" s="551">
        <v>0</v>
      </c>
      <c r="Q36" s="551">
        <v>0</v>
      </c>
      <c r="R36" s="577">
        <f t="shared" ref="R36" si="37">S36+T36</f>
        <v>0</v>
      </c>
      <c r="S36" s="551">
        <v>0</v>
      </c>
      <c r="T36" s="551">
        <v>0</v>
      </c>
      <c r="U36" s="577">
        <f t="shared" ref="U36" si="38">V36+W36</f>
        <v>0</v>
      </c>
      <c r="V36" s="551">
        <v>0</v>
      </c>
      <c r="W36" s="551">
        <v>0</v>
      </c>
    </row>
    <row r="37" spans="1:23" s="575" customFormat="1" ht="14.85" hidden="1" customHeight="1">
      <c r="A37" s="955"/>
      <c r="B37" s="982"/>
      <c r="C37" s="1026"/>
      <c r="D37" s="954"/>
      <c r="E37" s="1028"/>
      <c r="F37" s="955"/>
      <c r="G37" s="576">
        <v>0</v>
      </c>
      <c r="H37" s="576">
        <v>0</v>
      </c>
      <c r="I37" s="958" t="s">
        <v>15</v>
      </c>
      <c r="J37" s="1024">
        <f t="shared" ref="J37:W37" si="39">J34+J36</f>
        <v>13060458</v>
      </c>
      <c r="K37" s="1024">
        <f t="shared" si="39"/>
        <v>11007355</v>
      </c>
      <c r="L37" s="951">
        <f t="shared" si="39"/>
        <v>11007355</v>
      </c>
      <c r="M37" s="951">
        <f t="shared" si="39"/>
        <v>0</v>
      </c>
      <c r="N37" s="1024">
        <f t="shared" si="39"/>
        <v>2053103</v>
      </c>
      <c r="O37" s="1024">
        <f t="shared" si="39"/>
        <v>2053103</v>
      </c>
      <c r="P37" s="951">
        <f t="shared" si="39"/>
        <v>2053103</v>
      </c>
      <c r="Q37" s="951">
        <f t="shared" si="39"/>
        <v>0</v>
      </c>
      <c r="R37" s="1024">
        <f t="shared" si="39"/>
        <v>0</v>
      </c>
      <c r="S37" s="951">
        <f t="shared" si="39"/>
        <v>0</v>
      </c>
      <c r="T37" s="951">
        <f t="shared" si="39"/>
        <v>0</v>
      </c>
      <c r="U37" s="1024">
        <f t="shared" si="39"/>
        <v>0</v>
      </c>
      <c r="V37" s="951">
        <f t="shared" si="39"/>
        <v>0</v>
      </c>
      <c r="W37" s="951">
        <f t="shared" si="39"/>
        <v>0</v>
      </c>
    </row>
    <row r="38" spans="1:23" s="575" customFormat="1" ht="14.85" hidden="1" customHeight="1">
      <c r="A38" s="955"/>
      <c r="B38" s="983"/>
      <c r="C38" s="1027"/>
      <c r="D38" s="954"/>
      <c r="E38" s="1028"/>
      <c r="F38" s="955"/>
      <c r="G38" s="576">
        <v>0</v>
      </c>
      <c r="H38" s="576">
        <v>0</v>
      </c>
      <c r="I38" s="959"/>
      <c r="J38" s="1024"/>
      <c r="K38" s="1024"/>
      <c r="L38" s="951"/>
      <c r="M38" s="951"/>
      <c r="N38" s="1024"/>
      <c r="O38" s="1024"/>
      <c r="P38" s="951"/>
      <c r="Q38" s="951"/>
      <c r="R38" s="1024"/>
      <c r="S38" s="951"/>
      <c r="T38" s="951"/>
      <c r="U38" s="1024"/>
      <c r="V38" s="951"/>
      <c r="W38" s="951"/>
    </row>
    <row r="39" spans="1:23" s="575" customFormat="1" ht="14.85" hidden="1" customHeight="1">
      <c r="A39" s="955">
        <v>5</v>
      </c>
      <c r="B39" s="981" t="s">
        <v>1134</v>
      </c>
      <c r="C39" s="1025" t="s">
        <v>1135</v>
      </c>
      <c r="D39" s="954" t="s">
        <v>1136</v>
      </c>
      <c r="E39" s="1028" t="s">
        <v>1049</v>
      </c>
      <c r="F39" s="955" t="s">
        <v>951</v>
      </c>
      <c r="G39" s="576">
        <f>G40+G41+G42+G43</f>
        <v>203748</v>
      </c>
      <c r="H39" s="576">
        <f>H40+H41+H42+H43</f>
        <v>92798</v>
      </c>
      <c r="I39" s="958" t="s">
        <v>13</v>
      </c>
      <c r="J39" s="1024">
        <f t="shared" ref="J39" si="40">K39+N39</f>
        <v>110950</v>
      </c>
      <c r="K39" s="1024">
        <f t="shared" ref="K39" si="41">L39+M39</f>
        <v>93509</v>
      </c>
      <c r="L39" s="951">
        <v>93509</v>
      </c>
      <c r="M39" s="951">
        <v>0</v>
      </c>
      <c r="N39" s="1024">
        <f t="shared" ref="N39" si="42">O39+R39+U39</f>
        <v>17441</v>
      </c>
      <c r="O39" s="1024">
        <f t="shared" ref="O39" si="43">P39+Q39</f>
        <v>17441</v>
      </c>
      <c r="P39" s="951">
        <v>17441</v>
      </c>
      <c r="Q39" s="951">
        <v>0</v>
      </c>
      <c r="R39" s="1024">
        <f t="shared" ref="R39" si="44">S39+T39</f>
        <v>0</v>
      </c>
      <c r="S39" s="951">
        <v>0</v>
      </c>
      <c r="T39" s="951">
        <v>0</v>
      </c>
      <c r="U39" s="1024">
        <f t="shared" ref="U39" si="45">V39+W39</f>
        <v>0</v>
      </c>
      <c r="V39" s="951">
        <v>0</v>
      </c>
      <c r="W39" s="951">
        <v>0</v>
      </c>
    </row>
    <row r="40" spans="1:23" s="575" customFormat="1" ht="14.85" hidden="1" customHeight="1">
      <c r="A40" s="955"/>
      <c r="B40" s="982"/>
      <c r="C40" s="1026"/>
      <c r="D40" s="954"/>
      <c r="E40" s="1028"/>
      <c r="F40" s="955"/>
      <c r="G40" s="576">
        <v>171719</v>
      </c>
      <c r="H40" s="576">
        <v>78210</v>
      </c>
      <c r="I40" s="959"/>
      <c r="J40" s="1024"/>
      <c r="K40" s="1024"/>
      <c r="L40" s="951"/>
      <c r="M40" s="951"/>
      <c r="N40" s="1024"/>
      <c r="O40" s="1024"/>
      <c r="P40" s="951"/>
      <c r="Q40" s="951"/>
      <c r="R40" s="1024"/>
      <c r="S40" s="951"/>
      <c r="T40" s="951"/>
      <c r="U40" s="1024"/>
      <c r="V40" s="951"/>
      <c r="W40" s="951"/>
    </row>
    <row r="41" spans="1:23" s="575" customFormat="1" ht="14.85" hidden="1" customHeight="1">
      <c r="A41" s="955"/>
      <c r="B41" s="982"/>
      <c r="C41" s="1026"/>
      <c r="D41" s="954"/>
      <c r="E41" s="1028"/>
      <c r="F41" s="955"/>
      <c r="G41" s="576">
        <v>32029</v>
      </c>
      <c r="H41" s="576">
        <v>14588</v>
      </c>
      <c r="I41" s="548" t="s">
        <v>14</v>
      </c>
      <c r="J41" s="577">
        <f t="shared" ref="J41" si="46">K41+N41</f>
        <v>0</v>
      </c>
      <c r="K41" s="577">
        <f t="shared" ref="K41" si="47">L41+M41</f>
        <v>0</v>
      </c>
      <c r="L41" s="551">
        <v>0</v>
      </c>
      <c r="M41" s="551">
        <v>0</v>
      </c>
      <c r="N41" s="577">
        <f t="shared" ref="N41" si="48">O41+R41+U41</f>
        <v>0</v>
      </c>
      <c r="O41" s="577">
        <f t="shared" ref="O41" si="49">P41+Q41</f>
        <v>0</v>
      </c>
      <c r="P41" s="551">
        <v>0</v>
      </c>
      <c r="Q41" s="551">
        <v>0</v>
      </c>
      <c r="R41" s="577">
        <f t="shared" ref="R41" si="50">S41+T41</f>
        <v>0</v>
      </c>
      <c r="S41" s="551">
        <v>0</v>
      </c>
      <c r="T41" s="551">
        <v>0</v>
      </c>
      <c r="U41" s="577">
        <f t="shared" ref="U41" si="51">V41+W41</f>
        <v>0</v>
      </c>
      <c r="V41" s="551">
        <v>0</v>
      </c>
      <c r="W41" s="551">
        <v>0</v>
      </c>
    </row>
    <row r="42" spans="1:23" s="575" customFormat="1" ht="14.85" hidden="1" customHeight="1">
      <c r="A42" s="955"/>
      <c r="B42" s="982"/>
      <c r="C42" s="1026"/>
      <c r="D42" s="954"/>
      <c r="E42" s="1028"/>
      <c r="F42" s="955"/>
      <c r="G42" s="576">
        <v>0</v>
      </c>
      <c r="H42" s="576">
        <v>0</v>
      </c>
      <c r="I42" s="958" t="s">
        <v>15</v>
      </c>
      <c r="J42" s="1024">
        <f t="shared" ref="J42:W42" si="52">J39+J41</f>
        <v>110950</v>
      </c>
      <c r="K42" s="1024">
        <f t="shared" si="52"/>
        <v>93509</v>
      </c>
      <c r="L42" s="951">
        <f t="shared" si="52"/>
        <v>93509</v>
      </c>
      <c r="M42" s="951">
        <f t="shared" si="52"/>
        <v>0</v>
      </c>
      <c r="N42" s="1024">
        <f t="shared" si="52"/>
        <v>17441</v>
      </c>
      <c r="O42" s="1024">
        <f t="shared" si="52"/>
        <v>17441</v>
      </c>
      <c r="P42" s="951">
        <f t="shared" si="52"/>
        <v>17441</v>
      </c>
      <c r="Q42" s="951">
        <f t="shared" si="52"/>
        <v>0</v>
      </c>
      <c r="R42" s="1024">
        <f t="shared" si="52"/>
        <v>0</v>
      </c>
      <c r="S42" s="951">
        <f t="shared" si="52"/>
        <v>0</v>
      </c>
      <c r="T42" s="951">
        <f t="shared" si="52"/>
        <v>0</v>
      </c>
      <c r="U42" s="1024">
        <f t="shared" si="52"/>
        <v>0</v>
      </c>
      <c r="V42" s="951">
        <f t="shared" si="52"/>
        <v>0</v>
      </c>
      <c r="W42" s="951">
        <f t="shared" si="52"/>
        <v>0</v>
      </c>
    </row>
    <row r="43" spans="1:23" s="575" customFormat="1" ht="14.85" hidden="1" customHeight="1">
      <c r="A43" s="955"/>
      <c r="B43" s="983"/>
      <c r="C43" s="1027"/>
      <c r="D43" s="954"/>
      <c r="E43" s="1028"/>
      <c r="F43" s="955"/>
      <c r="G43" s="576">
        <v>0</v>
      </c>
      <c r="H43" s="576">
        <v>0</v>
      </c>
      <c r="I43" s="959"/>
      <c r="J43" s="1024"/>
      <c r="K43" s="1024"/>
      <c r="L43" s="951"/>
      <c r="M43" s="951"/>
      <c r="N43" s="1024"/>
      <c r="O43" s="1024"/>
      <c r="P43" s="951"/>
      <c r="Q43" s="951"/>
      <c r="R43" s="1024"/>
      <c r="S43" s="951"/>
      <c r="T43" s="951"/>
      <c r="U43" s="1024"/>
      <c r="V43" s="951"/>
      <c r="W43" s="951"/>
    </row>
    <row r="44" spans="1:23" s="575" customFormat="1" ht="14.85" hidden="1" customHeight="1">
      <c r="A44" s="955">
        <v>6</v>
      </c>
      <c r="B44" s="981" t="s">
        <v>1137</v>
      </c>
      <c r="C44" s="1025" t="s">
        <v>1138</v>
      </c>
      <c r="D44" s="954" t="s">
        <v>236</v>
      </c>
      <c r="E44" s="1028" t="s">
        <v>1125</v>
      </c>
      <c r="F44" s="955" t="s">
        <v>951</v>
      </c>
      <c r="G44" s="576">
        <f>G45+G46+G47+G48</f>
        <v>326482</v>
      </c>
      <c r="H44" s="576">
        <f>H45+H46+H47+H48</f>
        <v>174214</v>
      </c>
      <c r="I44" s="958" t="s">
        <v>13</v>
      </c>
      <c r="J44" s="1024">
        <f t="shared" ref="J44" si="53">K44+N44</f>
        <v>152268</v>
      </c>
      <c r="K44" s="1024">
        <f t="shared" ref="K44" si="54">L44+M44</f>
        <v>142594</v>
      </c>
      <c r="L44" s="951">
        <v>142594</v>
      </c>
      <c r="M44" s="951">
        <v>0</v>
      </c>
      <c r="N44" s="1024">
        <f t="shared" ref="N44" si="55">O44+R44+U44</f>
        <v>9674</v>
      </c>
      <c r="O44" s="1024">
        <f t="shared" ref="O44" si="56">P44+Q44</f>
        <v>9674</v>
      </c>
      <c r="P44" s="951">
        <v>9674</v>
      </c>
      <c r="Q44" s="951">
        <v>0</v>
      </c>
      <c r="R44" s="1024">
        <f t="shared" ref="R44" si="57">S44+T44</f>
        <v>0</v>
      </c>
      <c r="S44" s="951">
        <v>0</v>
      </c>
      <c r="T44" s="951">
        <v>0</v>
      </c>
      <c r="U44" s="1024">
        <f t="shared" ref="U44" si="58">V44+W44</f>
        <v>0</v>
      </c>
      <c r="V44" s="951">
        <v>0</v>
      </c>
      <c r="W44" s="951">
        <v>0</v>
      </c>
    </row>
    <row r="45" spans="1:23" s="575" customFormat="1" ht="14.85" hidden="1" customHeight="1">
      <c r="A45" s="955"/>
      <c r="B45" s="982"/>
      <c r="C45" s="1026"/>
      <c r="D45" s="954"/>
      <c r="E45" s="1028"/>
      <c r="F45" s="955"/>
      <c r="G45" s="576">
        <v>305736</v>
      </c>
      <c r="H45" s="576">
        <v>163142</v>
      </c>
      <c r="I45" s="959"/>
      <c r="J45" s="1024"/>
      <c r="K45" s="1024"/>
      <c r="L45" s="951"/>
      <c r="M45" s="951"/>
      <c r="N45" s="1024"/>
      <c r="O45" s="1024"/>
      <c r="P45" s="951"/>
      <c r="Q45" s="951"/>
      <c r="R45" s="1024"/>
      <c r="S45" s="951"/>
      <c r="T45" s="951"/>
      <c r="U45" s="1024"/>
      <c r="V45" s="951"/>
      <c r="W45" s="951"/>
    </row>
    <row r="46" spans="1:23" s="575" customFormat="1" ht="14.85" hidden="1" customHeight="1">
      <c r="A46" s="955"/>
      <c r="B46" s="982"/>
      <c r="C46" s="1026"/>
      <c r="D46" s="954"/>
      <c r="E46" s="1028"/>
      <c r="F46" s="955"/>
      <c r="G46" s="576">
        <v>20746</v>
      </c>
      <c r="H46" s="576">
        <v>11072</v>
      </c>
      <c r="I46" s="548" t="s">
        <v>14</v>
      </c>
      <c r="J46" s="577">
        <f t="shared" ref="J46" si="59">K46+N46</f>
        <v>0</v>
      </c>
      <c r="K46" s="577">
        <f t="shared" ref="K46" si="60">L46+M46</f>
        <v>0</v>
      </c>
      <c r="L46" s="551">
        <v>0</v>
      </c>
      <c r="M46" s="551">
        <v>0</v>
      </c>
      <c r="N46" s="577">
        <f t="shared" ref="N46" si="61">O46+R46+U46</f>
        <v>0</v>
      </c>
      <c r="O46" s="577">
        <f t="shared" ref="O46" si="62">P46+Q46</f>
        <v>0</v>
      </c>
      <c r="P46" s="551">
        <v>0</v>
      </c>
      <c r="Q46" s="551">
        <v>0</v>
      </c>
      <c r="R46" s="577">
        <f t="shared" ref="R46" si="63">S46+T46</f>
        <v>0</v>
      </c>
      <c r="S46" s="551">
        <v>0</v>
      </c>
      <c r="T46" s="551">
        <v>0</v>
      </c>
      <c r="U46" s="577">
        <f t="shared" ref="U46" si="64">V46+W46</f>
        <v>0</v>
      </c>
      <c r="V46" s="551">
        <v>0</v>
      </c>
      <c r="W46" s="551">
        <v>0</v>
      </c>
    </row>
    <row r="47" spans="1:23" s="575" customFormat="1" ht="14.85" hidden="1" customHeight="1">
      <c r="A47" s="955"/>
      <c r="B47" s="982"/>
      <c r="C47" s="1026"/>
      <c r="D47" s="954"/>
      <c r="E47" s="1028"/>
      <c r="F47" s="955"/>
      <c r="G47" s="576">
        <v>0</v>
      </c>
      <c r="H47" s="576">
        <v>0</v>
      </c>
      <c r="I47" s="958" t="s">
        <v>15</v>
      </c>
      <c r="J47" s="1024">
        <f t="shared" ref="J47:W47" si="65">J44+J46</f>
        <v>152268</v>
      </c>
      <c r="K47" s="1024">
        <f t="shared" si="65"/>
        <v>142594</v>
      </c>
      <c r="L47" s="951">
        <f t="shared" si="65"/>
        <v>142594</v>
      </c>
      <c r="M47" s="951">
        <f t="shared" si="65"/>
        <v>0</v>
      </c>
      <c r="N47" s="1024">
        <f t="shared" si="65"/>
        <v>9674</v>
      </c>
      <c r="O47" s="1024">
        <f t="shared" si="65"/>
        <v>9674</v>
      </c>
      <c r="P47" s="951">
        <f t="shared" si="65"/>
        <v>9674</v>
      </c>
      <c r="Q47" s="951">
        <f t="shared" si="65"/>
        <v>0</v>
      </c>
      <c r="R47" s="1024">
        <f t="shared" si="65"/>
        <v>0</v>
      </c>
      <c r="S47" s="951">
        <f t="shared" si="65"/>
        <v>0</v>
      </c>
      <c r="T47" s="951">
        <f t="shared" si="65"/>
        <v>0</v>
      </c>
      <c r="U47" s="1024">
        <f t="shared" si="65"/>
        <v>0</v>
      </c>
      <c r="V47" s="951">
        <f t="shared" si="65"/>
        <v>0</v>
      </c>
      <c r="W47" s="951">
        <f t="shared" si="65"/>
        <v>0</v>
      </c>
    </row>
    <row r="48" spans="1:23" s="575" customFormat="1" ht="14.85" hidden="1" customHeight="1">
      <c r="A48" s="955"/>
      <c r="B48" s="983"/>
      <c r="C48" s="1027"/>
      <c r="D48" s="954"/>
      <c r="E48" s="1028"/>
      <c r="F48" s="955"/>
      <c r="G48" s="576">
        <v>0</v>
      </c>
      <c r="H48" s="576">
        <v>0</v>
      </c>
      <c r="I48" s="959"/>
      <c r="J48" s="1024"/>
      <c r="K48" s="1024"/>
      <c r="L48" s="951"/>
      <c r="M48" s="951"/>
      <c r="N48" s="1024"/>
      <c r="O48" s="1024"/>
      <c r="P48" s="951"/>
      <c r="Q48" s="951"/>
      <c r="R48" s="1024"/>
      <c r="S48" s="951"/>
      <c r="T48" s="951"/>
      <c r="U48" s="1024"/>
      <c r="V48" s="951"/>
      <c r="W48" s="951"/>
    </row>
    <row r="49" spans="1:23" s="575" customFormat="1" ht="14.85" hidden="1" customHeight="1">
      <c r="A49" s="955">
        <v>7</v>
      </c>
      <c r="B49" s="954" t="s">
        <v>1139</v>
      </c>
      <c r="C49" s="1025" t="s">
        <v>1140</v>
      </c>
      <c r="D49" s="954" t="s">
        <v>1131</v>
      </c>
      <c r="E49" s="1028" t="s">
        <v>1027</v>
      </c>
      <c r="F49" s="955" t="s">
        <v>1141</v>
      </c>
      <c r="G49" s="576">
        <f>G50+G51+G52+G53</f>
        <v>17199313</v>
      </c>
      <c r="H49" s="576">
        <f>H50+H51+H52+H53</f>
        <v>14053846</v>
      </c>
      <c r="I49" s="958" t="s">
        <v>13</v>
      </c>
      <c r="J49" s="1024">
        <f t="shared" ref="J49" si="66">K49+N49</f>
        <v>3145467</v>
      </c>
      <c r="K49" s="1024">
        <f t="shared" ref="K49" si="67">L49+M49</f>
        <v>2651000</v>
      </c>
      <c r="L49" s="951">
        <v>2651000</v>
      </c>
      <c r="M49" s="951">
        <v>0</v>
      </c>
      <c r="N49" s="1024">
        <f t="shared" ref="N49" si="68">O49+R49+U49</f>
        <v>494467</v>
      </c>
      <c r="O49" s="1024">
        <f t="shared" ref="O49" si="69">P49+Q49</f>
        <v>0</v>
      </c>
      <c r="P49" s="951">
        <v>0</v>
      </c>
      <c r="Q49" s="951">
        <v>0</v>
      </c>
      <c r="R49" s="1024">
        <f t="shared" ref="R49" si="70">S49+T49</f>
        <v>494467</v>
      </c>
      <c r="S49" s="951">
        <v>494467</v>
      </c>
      <c r="T49" s="951">
        <v>0</v>
      </c>
      <c r="U49" s="1024">
        <f t="shared" ref="U49" si="71">V49+W49</f>
        <v>0</v>
      </c>
      <c r="V49" s="951">
        <v>0</v>
      </c>
      <c r="W49" s="951">
        <v>0</v>
      </c>
    </row>
    <row r="50" spans="1:23" s="575" customFormat="1" ht="14.85" hidden="1" customHeight="1">
      <c r="A50" s="955"/>
      <c r="B50" s="954"/>
      <c r="C50" s="1026"/>
      <c r="D50" s="954"/>
      <c r="E50" s="1028"/>
      <c r="F50" s="955"/>
      <c r="G50" s="576">
        <v>14495579</v>
      </c>
      <c r="H50" s="576">
        <v>11844579</v>
      </c>
      <c r="I50" s="959"/>
      <c r="J50" s="1024"/>
      <c r="K50" s="1024"/>
      <c r="L50" s="951"/>
      <c r="M50" s="951"/>
      <c r="N50" s="1024"/>
      <c r="O50" s="1024"/>
      <c r="P50" s="951"/>
      <c r="Q50" s="951"/>
      <c r="R50" s="1024"/>
      <c r="S50" s="951"/>
      <c r="T50" s="951"/>
      <c r="U50" s="1024"/>
      <c r="V50" s="951"/>
      <c r="W50" s="951"/>
    </row>
    <row r="51" spans="1:23" s="575" customFormat="1" ht="14.85" hidden="1" customHeight="1">
      <c r="A51" s="955"/>
      <c r="B51" s="954"/>
      <c r="C51" s="1026"/>
      <c r="D51" s="954"/>
      <c r="E51" s="1028"/>
      <c r="F51" s="955"/>
      <c r="G51" s="576">
        <v>0</v>
      </c>
      <c r="H51" s="576">
        <v>0</v>
      </c>
      <c r="I51" s="548" t="s">
        <v>14</v>
      </c>
      <c r="J51" s="577">
        <f t="shared" ref="J51" si="72">K51+N51</f>
        <v>0</v>
      </c>
      <c r="K51" s="577">
        <f t="shared" ref="K51" si="73">L51+M51</f>
        <v>0</v>
      </c>
      <c r="L51" s="551">
        <v>0</v>
      </c>
      <c r="M51" s="551">
        <v>0</v>
      </c>
      <c r="N51" s="577">
        <f t="shared" ref="N51" si="74">O51+R51+U51</f>
        <v>0</v>
      </c>
      <c r="O51" s="577">
        <f t="shared" ref="O51" si="75">P51+Q51</f>
        <v>0</v>
      </c>
      <c r="P51" s="551">
        <v>0</v>
      </c>
      <c r="Q51" s="551">
        <v>0</v>
      </c>
      <c r="R51" s="577">
        <f t="shared" ref="R51" si="76">S51+T51</f>
        <v>0</v>
      </c>
      <c r="S51" s="551">
        <v>0</v>
      </c>
      <c r="T51" s="551">
        <v>0</v>
      </c>
      <c r="U51" s="577">
        <f t="shared" ref="U51" si="77">V51+W51</f>
        <v>0</v>
      </c>
      <c r="V51" s="551">
        <v>0</v>
      </c>
      <c r="W51" s="551">
        <v>0</v>
      </c>
    </row>
    <row r="52" spans="1:23" s="575" customFormat="1" ht="14.85" hidden="1" customHeight="1">
      <c r="A52" s="955"/>
      <c r="B52" s="954"/>
      <c r="C52" s="1026"/>
      <c r="D52" s="954"/>
      <c r="E52" s="1028"/>
      <c r="F52" s="955"/>
      <c r="G52" s="576">
        <v>2703734</v>
      </c>
      <c r="H52" s="576">
        <v>2209267</v>
      </c>
      <c r="I52" s="958" t="s">
        <v>15</v>
      </c>
      <c r="J52" s="1024">
        <f t="shared" ref="J52:W52" si="78">J49+J51</f>
        <v>3145467</v>
      </c>
      <c r="K52" s="1024">
        <f t="shared" si="78"/>
        <v>2651000</v>
      </c>
      <c r="L52" s="951">
        <f t="shared" si="78"/>
        <v>2651000</v>
      </c>
      <c r="M52" s="951">
        <f t="shared" si="78"/>
        <v>0</v>
      </c>
      <c r="N52" s="1024">
        <f t="shared" si="78"/>
        <v>494467</v>
      </c>
      <c r="O52" s="1024">
        <f t="shared" si="78"/>
        <v>0</v>
      </c>
      <c r="P52" s="951">
        <f t="shared" si="78"/>
        <v>0</v>
      </c>
      <c r="Q52" s="951">
        <f t="shared" si="78"/>
        <v>0</v>
      </c>
      <c r="R52" s="1024">
        <f t="shared" si="78"/>
        <v>494467</v>
      </c>
      <c r="S52" s="951">
        <f t="shared" si="78"/>
        <v>494467</v>
      </c>
      <c r="T52" s="951">
        <f t="shared" si="78"/>
        <v>0</v>
      </c>
      <c r="U52" s="1024">
        <f t="shared" si="78"/>
        <v>0</v>
      </c>
      <c r="V52" s="951">
        <f t="shared" si="78"/>
        <v>0</v>
      </c>
      <c r="W52" s="951">
        <f t="shared" si="78"/>
        <v>0</v>
      </c>
    </row>
    <row r="53" spans="1:23" s="575" customFormat="1" ht="14.85" hidden="1" customHeight="1">
      <c r="A53" s="955"/>
      <c r="B53" s="954"/>
      <c r="C53" s="1027"/>
      <c r="D53" s="954"/>
      <c r="E53" s="1028"/>
      <c r="F53" s="955"/>
      <c r="G53" s="576">
        <v>0</v>
      </c>
      <c r="H53" s="576">
        <v>0</v>
      </c>
      <c r="I53" s="959"/>
      <c r="J53" s="1024"/>
      <c r="K53" s="1024"/>
      <c r="L53" s="951"/>
      <c r="M53" s="951"/>
      <c r="N53" s="1024"/>
      <c r="O53" s="1024"/>
      <c r="P53" s="951"/>
      <c r="Q53" s="951"/>
      <c r="R53" s="1024"/>
      <c r="S53" s="951"/>
      <c r="T53" s="951"/>
      <c r="U53" s="1024"/>
      <c r="V53" s="951"/>
      <c r="W53" s="951"/>
    </row>
    <row r="54" spans="1:23" s="575" customFormat="1" ht="14.85" hidden="1" customHeight="1">
      <c r="A54" s="955">
        <v>8</v>
      </c>
      <c r="B54" s="986" t="s">
        <v>1142</v>
      </c>
      <c r="C54" s="1025" t="s">
        <v>1143</v>
      </c>
      <c r="D54" s="986" t="s">
        <v>236</v>
      </c>
      <c r="E54" s="1029" t="s">
        <v>977</v>
      </c>
      <c r="F54" s="987" t="s">
        <v>993</v>
      </c>
      <c r="G54" s="576">
        <f>G55+G56+G57+G58</f>
        <v>31626097</v>
      </c>
      <c r="H54" s="576">
        <f>H55+H56+H57+H58</f>
        <v>11609132</v>
      </c>
      <c r="I54" s="958" t="s">
        <v>13</v>
      </c>
      <c r="J54" s="1024">
        <f t="shared" ref="J54" si="79">K54+N54</f>
        <v>20016965</v>
      </c>
      <c r="K54" s="1024">
        <f t="shared" ref="K54" si="80">L54+M54</f>
        <v>8960179</v>
      </c>
      <c r="L54" s="951">
        <v>0</v>
      </c>
      <c r="M54" s="951">
        <v>8960179</v>
      </c>
      <c r="N54" s="1024">
        <f t="shared" ref="N54" si="81">O54+R54+U54</f>
        <v>11056786</v>
      </c>
      <c r="O54" s="1024">
        <f t="shared" ref="O54" si="82">P54+Q54</f>
        <v>0</v>
      </c>
      <c r="P54" s="951">
        <v>0</v>
      </c>
      <c r="Q54" s="951">
        <v>0</v>
      </c>
      <c r="R54" s="1024">
        <f t="shared" ref="R54" si="83">S54+T54</f>
        <v>11056786</v>
      </c>
      <c r="S54" s="951">
        <v>666584</v>
      </c>
      <c r="T54" s="951">
        <v>10390202</v>
      </c>
      <c r="U54" s="1024">
        <f t="shared" ref="U54" si="84">V54+W54</f>
        <v>0</v>
      </c>
      <c r="V54" s="951">
        <v>0</v>
      </c>
      <c r="W54" s="951">
        <v>0</v>
      </c>
    </row>
    <row r="55" spans="1:23" s="575" customFormat="1" ht="14.85" hidden="1" customHeight="1">
      <c r="A55" s="955"/>
      <c r="B55" s="986"/>
      <c r="C55" s="1026"/>
      <c r="D55" s="986"/>
      <c r="E55" s="1029"/>
      <c r="F55" s="987"/>
      <c r="G55" s="576">
        <v>14873864</v>
      </c>
      <c r="H55" s="576">
        <v>5913685</v>
      </c>
      <c r="I55" s="959"/>
      <c r="J55" s="1024"/>
      <c r="K55" s="1024"/>
      <c r="L55" s="951"/>
      <c r="M55" s="951"/>
      <c r="N55" s="1024"/>
      <c r="O55" s="1024"/>
      <c r="P55" s="951"/>
      <c r="Q55" s="951"/>
      <c r="R55" s="1024"/>
      <c r="S55" s="951"/>
      <c r="T55" s="951"/>
      <c r="U55" s="1024"/>
      <c r="V55" s="951"/>
      <c r="W55" s="951"/>
    </row>
    <row r="56" spans="1:23" s="575" customFormat="1" ht="14.85" hidden="1" customHeight="1">
      <c r="A56" s="955"/>
      <c r="B56" s="986"/>
      <c r="C56" s="1026"/>
      <c r="D56" s="986"/>
      <c r="E56" s="1029"/>
      <c r="F56" s="987"/>
      <c r="G56" s="576">
        <v>0</v>
      </c>
      <c r="H56" s="576">
        <v>0</v>
      </c>
      <c r="I56" s="548" t="s">
        <v>14</v>
      </c>
      <c r="J56" s="577">
        <f t="shared" ref="J56" si="85">K56+N56</f>
        <v>0</v>
      </c>
      <c r="K56" s="577">
        <f t="shared" ref="K56" si="86">L56+M56</f>
        <v>0</v>
      </c>
      <c r="L56" s="551">
        <v>0</v>
      </c>
      <c r="M56" s="551">
        <v>0</v>
      </c>
      <c r="N56" s="577">
        <f t="shared" ref="N56" si="87">O56+R56+U56</f>
        <v>0</v>
      </c>
      <c r="O56" s="577">
        <f t="shared" ref="O56" si="88">P56+Q56</f>
        <v>0</v>
      </c>
      <c r="P56" s="551">
        <v>0</v>
      </c>
      <c r="Q56" s="551">
        <v>0</v>
      </c>
      <c r="R56" s="577">
        <f t="shared" ref="R56" si="89">S56+T56</f>
        <v>0</v>
      </c>
      <c r="S56" s="551">
        <v>0</v>
      </c>
      <c r="T56" s="551">
        <v>0</v>
      </c>
      <c r="U56" s="577">
        <f t="shared" ref="U56" si="90">V56+W56</f>
        <v>0</v>
      </c>
      <c r="V56" s="551">
        <v>0</v>
      </c>
      <c r="W56" s="551">
        <v>0</v>
      </c>
    </row>
    <row r="57" spans="1:23" s="575" customFormat="1" ht="14.85" hidden="1" customHeight="1">
      <c r="A57" s="955"/>
      <c r="B57" s="986"/>
      <c r="C57" s="1026"/>
      <c r="D57" s="986"/>
      <c r="E57" s="1029"/>
      <c r="F57" s="987"/>
      <c r="G57" s="576">
        <v>16752233</v>
      </c>
      <c r="H57" s="576">
        <v>5695447</v>
      </c>
      <c r="I57" s="958" t="s">
        <v>15</v>
      </c>
      <c r="J57" s="1024">
        <f t="shared" ref="J57:W57" si="91">J54+J56</f>
        <v>20016965</v>
      </c>
      <c r="K57" s="1024">
        <f t="shared" si="91"/>
        <v>8960179</v>
      </c>
      <c r="L57" s="951">
        <f t="shared" si="91"/>
        <v>0</v>
      </c>
      <c r="M57" s="951">
        <f t="shared" si="91"/>
        <v>8960179</v>
      </c>
      <c r="N57" s="1024">
        <f t="shared" si="91"/>
        <v>11056786</v>
      </c>
      <c r="O57" s="1024">
        <f t="shared" si="91"/>
        <v>0</v>
      </c>
      <c r="P57" s="951">
        <f t="shared" si="91"/>
        <v>0</v>
      </c>
      <c r="Q57" s="951">
        <f t="shared" si="91"/>
        <v>0</v>
      </c>
      <c r="R57" s="1024">
        <f t="shared" si="91"/>
        <v>11056786</v>
      </c>
      <c r="S57" s="951">
        <f t="shared" si="91"/>
        <v>666584</v>
      </c>
      <c r="T57" s="951">
        <f t="shared" si="91"/>
        <v>10390202</v>
      </c>
      <c r="U57" s="1024">
        <f t="shared" si="91"/>
        <v>0</v>
      </c>
      <c r="V57" s="951">
        <f t="shared" si="91"/>
        <v>0</v>
      </c>
      <c r="W57" s="951">
        <f t="shared" si="91"/>
        <v>0</v>
      </c>
    </row>
    <row r="58" spans="1:23" s="575" customFormat="1" ht="14.85" hidden="1" customHeight="1">
      <c r="A58" s="955"/>
      <c r="B58" s="986"/>
      <c r="C58" s="1027"/>
      <c r="D58" s="986"/>
      <c r="E58" s="1029"/>
      <c r="F58" s="987"/>
      <c r="G58" s="576">
        <v>0</v>
      </c>
      <c r="H58" s="576">
        <v>0</v>
      </c>
      <c r="I58" s="959"/>
      <c r="J58" s="1024"/>
      <c r="K58" s="1024"/>
      <c r="L58" s="951"/>
      <c r="M58" s="951"/>
      <c r="N58" s="1024"/>
      <c r="O58" s="1024"/>
      <c r="P58" s="951"/>
      <c r="Q58" s="951"/>
      <c r="R58" s="1024"/>
      <c r="S58" s="951"/>
      <c r="T58" s="951"/>
      <c r="U58" s="1024"/>
      <c r="V58" s="951"/>
      <c r="W58" s="951"/>
    </row>
    <row r="59" spans="1:23" s="575" customFormat="1" ht="14.85" hidden="1" customHeight="1">
      <c r="A59" s="955">
        <v>9</v>
      </c>
      <c r="B59" s="981" t="s">
        <v>1144</v>
      </c>
      <c r="C59" s="1030" t="s">
        <v>1145</v>
      </c>
      <c r="D59" s="954" t="s">
        <v>236</v>
      </c>
      <c r="E59" s="1028" t="s">
        <v>1146</v>
      </c>
      <c r="F59" s="955" t="s">
        <v>1147</v>
      </c>
      <c r="G59" s="576">
        <f>G60+G61+G62+G63</f>
        <v>33858983</v>
      </c>
      <c r="H59" s="576">
        <f>H60+H61+H62+H63</f>
        <v>20508983</v>
      </c>
      <c r="I59" s="958" t="s">
        <v>13</v>
      </c>
      <c r="J59" s="1024">
        <f t="shared" ref="J59" si="92">K59+N59</f>
        <v>4850000</v>
      </c>
      <c r="K59" s="1024">
        <f t="shared" ref="K59" si="93">L59+M59</f>
        <v>3086000</v>
      </c>
      <c r="L59" s="951">
        <v>3086000</v>
      </c>
      <c r="M59" s="951">
        <v>0</v>
      </c>
      <c r="N59" s="1024">
        <f t="shared" ref="N59" si="94">O59+R59+U59</f>
        <v>1764000</v>
      </c>
      <c r="O59" s="1024">
        <f t="shared" ref="O59" si="95">P59+Q59</f>
        <v>1764000</v>
      </c>
      <c r="P59" s="951">
        <v>1764000</v>
      </c>
      <c r="Q59" s="951">
        <v>0</v>
      </c>
      <c r="R59" s="1024">
        <f t="shared" ref="R59" si="96">S59+T59</f>
        <v>0</v>
      </c>
      <c r="S59" s="951">
        <v>0</v>
      </c>
      <c r="T59" s="951">
        <v>0</v>
      </c>
      <c r="U59" s="1024">
        <f t="shared" ref="U59" si="97">V59+W59</f>
        <v>0</v>
      </c>
      <c r="V59" s="951">
        <v>0</v>
      </c>
      <c r="W59" s="951">
        <v>0</v>
      </c>
    </row>
    <row r="60" spans="1:23" s="575" customFormat="1" ht="14.85" hidden="1" customHeight="1">
      <c r="A60" s="955"/>
      <c r="B60" s="982"/>
      <c r="C60" s="1030"/>
      <c r="D60" s="954"/>
      <c r="E60" s="1028"/>
      <c r="F60" s="955"/>
      <c r="G60" s="576">
        <v>21543774</v>
      </c>
      <c r="H60" s="576">
        <v>13049774</v>
      </c>
      <c r="I60" s="959"/>
      <c r="J60" s="1024"/>
      <c r="K60" s="1024"/>
      <c r="L60" s="951"/>
      <c r="M60" s="951"/>
      <c r="N60" s="1024"/>
      <c r="O60" s="1024"/>
      <c r="P60" s="951"/>
      <c r="Q60" s="951"/>
      <c r="R60" s="1024"/>
      <c r="S60" s="951"/>
      <c r="T60" s="951"/>
      <c r="U60" s="1024"/>
      <c r="V60" s="951"/>
      <c r="W60" s="951"/>
    </row>
    <row r="61" spans="1:23" s="575" customFormat="1" ht="14.85" hidden="1" customHeight="1">
      <c r="A61" s="955"/>
      <c r="B61" s="982"/>
      <c r="C61" s="1030"/>
      <c r="D61" s="954"/>
      <c r="E61" s="1028"/>
      <c r="F61" s="955"/>
      <c r="G61" s="576">
        <v>12315209</v>
      </c>
      <c r="H61" s="576">
        <v>7459209</v>
      </c>
      <c r="I61" s="548" t="s">
        <v>14</v>
      </c>
      <c r="J61" s="577">
        <f t="shared" ref="J61" si="98">K61+N61</f>
        <v>0</v>
      </c>
      <c r="K61" s="577">
        <f t="shared" ref="K61" si="99">L61+M61</f>
        <v>0</v>
      </c>
      <c r="L61" s="551">
        <v>0</v>
      </c>
      <c r="M61" s="551">
        <v>0</v>
      </c>
      <c r="N61" s="577">
        <f t="shared" ref="N61" si="100">O61+R61+U61</f>
        <v>0</v>
      </c>
      <c r="O61" s="577">
        <f t="shared" ref="O61" si="101">P61+Q61</f>
        <v>0</v>
      </c>
      <c r="P61" s="551">
        <v>0</v>
      </c>
      <c r="Q61" s="551">
        <v>0</v>
      </c>
      <c r="R61" s="577">
        <f t="shared" ref="R61" si="102">S61+T61</f>
        <v>0</v>
      </c>
      <c r="S61" s="551">
        <v>0</v>
      </c>
      <c r="T61" s="551">
        <v>0</v>
      </c>
      <c r="U61" s="577">
        <f t="shared" ref="U61" si="103">V61+W61</f>
        <v>0</v>
      </c>
      <c r="V61" s="551">
        <v>0</v>
      </c>
      <c r="W61" s="551">
        <v>0</v>
      </c>
    </row>
    <row r="62" spans="1:23" s="575" customFormat="1" ht="14.85" hidden="1" customHeight="1">
      <c r="A62" s="955"/>
      <c r="B62" s="982"/>
      <c r="C62" s="1030"/>
      <c r="D62" s="954"/>
      <c r="E62" s="1028"/>
      <c r="F62" s="955"/>
      <c r="G62" s="576">
        <v>0</v>
      </c>
      <c r="H62" s="576">
        <v>0</v>
      </c>
      <c r="I62" s="958" t="s">
        <v>15</v>
      </c>
      <c r="J62" s="1024">
        <f t="shared" ref="J62:W62" si="104">J59+J61</f>
        <v>4850000</v>
      </c>
      <c r="K62" s="1024">
        <f t="shared" si="104"/>
        <v>3086000</v>
      </c>
      <c r="L62" s="951">
        <f t="shared" si="104"/>
        <v>3086000</v>
      </c>
      <c r="M62" s="951">
        <f t="shared" si="104"/>
        <v>0</v>
      </c>
      <c r="N62" s="1024">
        <f t="shared" si="104"/>
        <v>1764000</v>
      </c>
      <c r="O62" s="1024">
        <f t="shared" si="104"/>
        <v>1764000</v>
      </c>
      <c r="P62" s="951">
        <f t="shared" si="104"/>
        <v>1764000</v>
      </c>
      <c r="Q62" s="951">
        <f t="shared" si="104"/>
        <v>0</v>
      </c>
      <c r="R62" s="1024">
        <f t="shared" si="104"/>
        <v>0</v>
      </c>
      <c r="S62" s="951">
        <f t="shared" si="104"/>
        <v>0</v>
      </c>
      <c r="T62" s="951">
        <f t="shared" si="104"/>
        <v>0</v>
      </c>
      <c r="U62" s="1024">
        <f t="shared" si="104"/>
        <v>0</v>
      </c>
      <c r="V62" s="951">
        <f t="shared" si="104"/>
        <v>0</v>
      </c>
      <c r="W62" s="951">
        <f t="shared" si="104"/>
        <v>0</v>
      </c>
    </row>
    <row r="63" spans="1:23" s="575" customFormat="1" ht="14.85" hidden="1" customHeight="1">
      <c r="A63" s="955"/>
      <c r="B63" s="983"/>
      <c r="C63" s="1030"/>
      <c r="D63" s="954"/>
      <c r="E63" s="1028"/>
      <c r="F63" s="955"/>
      <c r="G63" s="576">
        <v>0</v>
      </c>
      <c r="H63" s="576">
        <v>0</v>
      </c>
      <c r="I63" s="959"/>
      <c r="J63" s="1024"/>
      <c r="K63" s="1024"/>
      <c r="L63" s="951"/>
      <c r="M63" s="951"/>
      <c r="N63" s="1024"/>
      <c r="O63" s="1024"/>
      <c r="P63" s="951"/>
      <c r="Q63" s="951"/>
      <c r="R63" s="1024"/>
      <c r="S63" s="951"/>
      <c r="T63" s="951"/>
      <c r="U63" s="1024"/>
      <c r="V63" s="951"/>
      <c r="W63" s="951"/>
    </row>
    <row r="64" spans="1:23" s="575" customFormat="1" ht="14.85" hidden="1" customHeight="1">
      <c r="A64" s="955">
        <v>10</v>
      </c>
      <c r="B64" s="981" t="s">
        <v>1144</v>
      </c>
      <c r="C64" s="1030" t="s">
        <v>1148</v>
      </c>
      <c r="D64" s="954" t="s">
        <v>236</v>
      </c>
      <c r="E64" s="1028" t="s">
        <v>1146</v>
      </c>
      <c r="F64" s="955" t="s">
        <v>1147</v>
      </c>
      <c r="G64" s="576">
        <f>G65+G66+G67+G68</f>
        <v>1014125</v>
      </c>
      <c r="H64" s="576">
        <f>H65+H66+H67+H68</f>
        <v>614125</v>
      </c>
      <c r="I64" s="958" t="s">
        <v>13</v>
      </c>
      <c r="J64" s="1024">
        <f t="shared" ref="J64" si="105">K64+N64</f>
        <v>100000</v>
      </c>
      <c r="K64" s="1024">
        <f t="shared" ref="K64" si="106">L64+M64</f>
        <v>64000</v>
      </c>
      <c r="L64" s="951">
        <v>64000</v>
      </c>
      <c r="M64" s="951">
        <v>0</v>
      </c>
      <c r="N64" s="1024">
        <f t="shared" ref="N64" si="107">O64+R64+U64</f>
        <v>36000</v>
      </c>
      <c r="O64" s="1024">
        <f t="shared" ref="O64" si="108">P64+Q64</f>
        <v>36000</v>
      </c>
      <c r="P64" s="951">
        <v>36000</v>
      </c>
      <c r="Q64" s="951">
        <v>0</v>
      </c>
      <c r="R64" s="1024">
        <f t="shared" ref="R64" si="109">S64+T64</f>
        <v>0</v>
      </c>
      <c r="S64" s="951">
        <v>0</v>
      </c>
      <c r="T64" s="951">
        <v>0</v>
      </c>
      <c r="U64" s="1024">
        <f t="shared" ref="U64" si="110">V64+W64</f>
        <v>0</v>
      </c>
      <c r="V64" s="951">
        <v>0</v>
      </c>
      <c r="W64" s="951">
        <v>0</v>
      </c>
    </row>
    <row r="65" spans="1:23" s="575" customFormat="1" ht="14.85" hidden="1" customHeight="1">
      <c r="A65" s="955"/>
      <c r="B65" s="982"/>
      <c r="C65" s="1030"/>
      <c r="D65" s="954"/>
      <c r="E65" s="1028"/>
      <c r="F65" s="955"/>
      <c r="G65" s="576">
        <v>647138</v>
      </c>
      <c r="H65" s="576">
        <v>391138</v>
      </c>
      <c r="I65" s="959"/>
      <c r="J65" s="1024"/>
      <c r="K65" s="1024"/>
      <c r="L65" s="951"/>
      <c r="M65" s="951"/>
      <c r="N65" s="1024"/>
      <c r="O65" s="1024"/>
      <c r="P65" s="951"/>
      <c r="Q65" s="951"/>
      <c r="R65" s="1024"/>
      <c r="S65" s="951"/>
      <c r="T65" s="951"/>
      <c r="U65" s="1024"/>
      <c r="V65" s="951"/>
      <c r="W65" s="951"/>
    </row>
    <row r="66" spans="1:23" s="575" customFormat="1" ht="14.85" hidden="1" customHeight="1">
      <c r="A66" s="955"/>
      <c r="B66" s="982"/>
      <c r="C66" s="1030"/>
      <c r="D66" s="954"/>
      <c r="E66" s="1028"/>
      <c r="F66" s="955"/>
      <c r="G66" s="576">
        <v>366987</v>
      </c>
      <c r="H66" s="576">
        <v>222987</v>
      </c>
      <c r="I66" s="548" t="s">
        <v>14</v>
      </c>
      <c r="J66" s="577">
        <f t="shared" ref="J66" si="111">K66+N66</f>
        <v>0</v>
      </c>
      <c r="K66" s="577">
        <f t="shared" ref="K66" si="112">L66+M66</f>
        <v>0</v>
      </c>
      <c r="L66" s="551">
        <v>0</v>
      </c>
      <c r="M66" s="551">
        <v>0</v>
      </c>
      <c r="N66" s="577">
        <f t="shared" ref="N66" si="113">O66+R66+U66</f>
        <v>0</v>
      </c>
      <c r="O66" s="577">
        <f t="shared" ref="O66" si="114">P66+Q66</f>
        <v>0</v>
      </c>
      <c r="P66" s="551">
        <v>0</v>
      </c>
      <c r="Q66" s="551">
        <v>0</v>
      </c>
      <c r="R66" s="577">
        <f t="shared" ref="R66" si="115">S66+T66</f>
        <v>0</v>
      </c>
      <c r="S66" s="551">
        <v>0</v>
      </c>
      <c r="T66" s="551">
        <v>0</v>
      </c>
      <c r="U66" s="577">
        <f t="shared" ref="U66" si="116">V66+W66</f>
        <v>0</v>
      </c>
      <c r="V66" s="551">
        <v>0</v>
      </c>
      <c r="W66" s="551">
        <v>0</v>
      </c>
    </row>
    <row r="67" spans="1:23" s="575" customFormat="1" ht="15" hidden="1" customHeight="1">
      <c r="A67" s="955"/>
      <c r="B67" s="982"/>
      <c r="C67" s="1030"/>
      <c r="D67" s="954"/>
      <c r="E67" s="1028"/>
      <c r="F67" s="955"/>
      <c r="G67" s="576">
        <v>0</v>
      </c>
      <c r="H67" s="576">
        <v>0</v>
      </c>
      <c r="I67" s="958" t="s">
        <v>15</v>
      </c>
      <c r="J67" s="1024">
        <f t="shared" ref="J67:W67" si="117">J64+J66</f>
        <v>100000</v>
      </c>
      <c r="K67" s="1024">
        <f t="shared" si="117"/>
        <v>64000</v>
      </c>
      <c r="L67" s="951">
        <f t="shared" si="117"/>
        <v>64000</v>
      </c>
      <c r="M67" s="951">
        <f t="shared" si="117"/>
        <v>0</v>
      </c>
      <c r="N67" s="1024">
        <f t="shared" si="117"/>
        <v>36000</v>
      </c>
      <c r="O67" s="1024">
        <f t="shared" si="117"/>
        <v>36000</v>
      </c>
      <c r="P67" s="951">
        <f t="shared" si="117"/>
        <v>36000</v>
      </c>
      <c r="Q67" s="951">
        <f t="shared" si="117"/>
        <v>0</v>
      </c>
      <c r="R67" s="1024">
        <f t="shared" si="117"/>
        <v>0</v>
      </c>
      <c r="S67" s="951">
        <f t="shared" si="117"/>
        <v>0</v>
      </c>
      <c r="T67" s="951">
        <f t="shared" si="117"/>
        <v>0</v>
      </c>
      <c r="U67" s="1024">
        <f t="shared" si="117"/>
        <v>0</v>
      </c>
      <c r="V67" s="951">
        <f t="shared" si="117"/>
        <v>0</v>
      </c>
      <c r="W67" s="951">
        <f t="shared" si="117"/>
        <v>0</v>
      </c>
    </row>
    <row r="68" spans="1:23" s="575" customFormat="1" hidden="1">
      <c r="A68" s="955"/>
      <c r="B68" s="983"/>
      <c r="C68" s="1030"/>
      <c r="D68" s="954"/>
      <c r="E68" s="1028"/>
      <c r="F68" s="955"/>
      <c r="G68" s="576">
        <v>0</v>
      </c>
      <c r="H68" s="576">
        <v>0</v>
      </c>
      <c r="I68" s="959"/>
      <c r="J68" s="1024"/>
      <c r="K68" s="1024"/>
      <c r="L68" s="951"/>
      <c r="M68" s="951"/>
      <c r="N68" s="1024"/>
      <c r="O68" s="1024"/>
      <c r="P68" s="951"/>
      <c r="Q68" s="951"/>
      <c r="R68" s="1024"/>
      <c r="S68" s="951"/>
      <c r="T68" s="951"/>
      <c r="U68" s="1024"/>
      <c r="V68" s="951"/>
      <c r="W68" s="951"/>
    </row>
    <row r="69" spans="1:23" s="575" customFormat="1" hidden="1">
      <c r="A69" s="955">
        <v>11</v>
      </c>
      <c r="B69" s="981" t="s">
        <v>1144</v>
      </c>
      <c r="C69" s="1030" t="s">
        <v>1149</v>
      </c>
      <c r="D69" s="954" t="s">
        <v>236</v>
      </c>
      <c r="E69" s="1028" t="s">
        <v>1146</v>
      </c>
      <c r="F69" s="955" t="s">
        <v>1147</v>
      </c>
      <c r="G69" s="576">
        <f>G70+G71+G72+G73</f>
        <v>8135078</v>
      </c>
      <c r="H69" s="576">
        <f>H70+H71+H72+H73</f>
        <v>6015078</v>
      </c>
      <c r="I69" s="958" t="s">
        <v>13</v>
      </c>
      <c r="J69" s="1024">
        <f t="shared" ref="J69" si="118">K69+N69</f>
        <v>1200000</v>
      </c>
      <c r="K69" s="1024">
        <f t="shared" ref="K69" si="119">L69+M69</f>
        <v>764000</v>
      </c>
      <c r="L69" s="951">
        <v>764000</v>
      </c>
      <c r="M69" s="951">
        <v>0</v>
      </c>
      <c r="N69" s="1024">
        <f t="shared" ref="N69" si="120">O69+R69+U69</f>
        <v>436000</v>
      </c>
      <c r="O69" s="1024">
        <f t="shared" ref="O69" si="121">P69+Q69</f>
        <v>436000</v>
      </c>
      <c r="P69" s="951">
        <v>436000</v>
      </c>
      <c r="Q69" s="951">
        <v>0</v>
      </c>
      <c r="R69" s="1024">
        <f t="shared" ref="R69" si="122">S69+T69</f>
        <v>0</v>
      </c>
      <c r="S69" s="951">
        <v>0</v>
      </c>
      <c r="T69" s="951">
        <v>0</v>
      </c>
      <c r="U69" s="1024">
        <f t="shared" ref="U69" si="123">V69+W69</f>
        <v>0</v>
      </c>
      <c r="V69" s="951">
        <v>0</v>
      </c>
      <c r="W69" s="951">
        <v>0</v>
      </c>
    </row>
    <row r="70" spans="1:23" s="575" customFormat="1" hidden="1">
      <c r="A70" s="955"/>
      <c r="B70" s="982"/>
      <c r="C70" s="1030"/>
      <c r="D70" s="954"/>
      <c r="E70" s="1028"/>
      <c r="F70" s="955"/>
      <c r="G70" s="576">
        <v>5177833</v>
      </c>
      <c r="H70" s="576">
        <v>3827833</v>
      </c>
      <c r="I70" s="959"/>
      <c r="J70" s="1024"/>
      <c r="K70" s="1024"/>
      <c r="L70" s="951"/>
      <c r="M70" s="951"/>
      <c r="N70" s="1024"/>
      <c r="O70" s="1024"/>
      <c r="P70" s="951"/>
      <c r="Q70" s="951"/>
      <c r="R70" s="1024"/>
      <c r="S70" s="951"/>
      <c r="T70" s="951"/>
      <c r="U70" s="1024"/>
      <c r="V70" s="951"/>
      <c r="W70" s="951"/>
    </row>
    <row r="71" spans="1:23" s="575" customFormat="1" hidden="1">
      <c r="A71" s="955"/>
      <c r="B71" s="982"/>
      <c r="C71" s="1030"/>
      <c r="D71" s="954"/>
      <c r="E71" s="1028"/>
      <c r="F71" s="955"/>
      <c r="G71" s="576">
        <v>2957245</v>
      </c>
      <c r="H71" s="576">
        <v>2187245</v>
      </c>
      <c r="I71" s="548" t="s">
        <v>14</v>
      </c>
      <c r="J71" s="577">
        <f t="shared" ref="J71" si="124">K71+N71</f>
        <v>0</v>
      </c>
      <c r="K71" s="577">
        <f t="shared" ref="K71" si="125">L71+M71</f>
        <v>0</v>
      </c>
      <c r="L71" s="551">
        <v>0</v>
      </c>
      <c r="M71" s="551">
        <v>0</v>
      </c>
      <c r="N71" s="577">
        <f t="shared" ref="N71" si="126">O71+R71+U71</f>
        <v>0</v>
      </c>
      <c r="O71" s="577">
        <f t="shared" ref="O71" si="127">P71+Q71</f>
        <v>0</v>
      </c>
      <c r="P71" s="551">
        <v>0</v>
      </c>
      <c r="Q71" s="551">
        <v>0</v>
      </c>
      <c r="R71" s="577">
        <f t="shared" ref="R71" si="128">S71+T71</f>
        <v>0</v>
      </c>
      <c r="S71" s="551">
        <v>0</v>
      </c>
      <c r="T71" s="551">
        <v>0</v>
      </c>
      <c r="U71" s="577">
        <f t="shared" ref="U71" si="129">V71+W71</f>
        <v>0</v>
      </c>
      <c r="V71" s="551">
        <v>0</v>
      </c>
      <c r="W71" s="551">
        <v>0</v>
      </c>
    </row>
    <row r="72" spans="1:23" s="575" customFormat="1" ht="15" hidden="1" customHeight="1">
      <c r="A72" s="955"/>
      <c r="B72" s="982"/>
      <c r="C72" s="1030"/>
      <c r="D72" s="954"/>
      <c r="E72" s="1028"/>
      <c r="F72" s="955"/>
      <c r="G72" s="576">
        <v>0</v>
      </c>
      <c r="H72" s="576">
        <v>0</v>
      </c>
      <c r="I72" s="958" t="s">
        <v>15</v>
      </c>
      <c r="J72" s="1024">
        <f t="shared" ref="J72:W72" si="130">J69+J71</f>
        <v>1200000</v>
      </c>
      <c r="K72" s="1024">
        <f t="shared" si="130"/>
        <v>764000</v>
      </c>
      <c r="L72" s="951">
        <f t="shared" si="130"/>
        <v>764000</v>
      </c>
      <c r="M72" s="951">
        <f t="shared" si="130"/>
        <v>0</v>
      </c>
      <c r="N72" s="1024">
        <f t="shared" si="130"/>
        <v>436000</v>
      </c>
      <c r="O72" s="1024">
        <f t="shared" si="130"/>
        <v>436000</v>
      </c>
      <c r="P72" s="951">
        <f t="shared" si="130"/>
        <v>436000</v>
      </c>
      <c r="Q72" s="951">
        <f t="shared" si="130"/>
        <v>0</v>
      </c>
      <c r="R72" s="1024">
        <f t="shared" si="130"/>
        <v>0</v>
      </c>
      <c r="S72" s="951">
        <f t="shared" si="130"/>
        <v>0</v>
      </c>
      <c r="T72" s="951">
        <f t="shared" si="130"/>
        <v>0</v>
      </c>
      <c r="U72" s="1024">
        <f t="shared" si="130"/>
        <v>0</v>
      </c>
      <c r="V72" s="951">
        <f t="shared" si="130"/>
        <v>0</v>
      </c>
      <c r="W72" s="951">
        <f t="shared" si="130"/>
        <v>0</v>
      </c>
    </row>
    <row r="73" spans="1:23" s="575" customFormat="1" ht="15" hidden="1" customHeight="1">
      <c r="A73" s="955"/>
      <c r="B73" s="983"/>
      <c r="C73" s="1030"/>
      <c r="D73" s="954"/>
      <c r="E73" s="1028"/>
      <c r="F73" s="955"/>
      <c r="G73" s="576">
        <v>0</v>
      </c>
      <c r="H73" s="576">
        <v>0</v>
      </c>
      <c r="I73" s="959"/>
      <c r="J73" s="1024"/>
      <c r="K73" s="1024"/>
      <c r="L73" s="951"/>
      <c r="M73" s="951"/>
      <c r="N73" s="1024"/>
      <c r="O73" s="1024"/>
      <c r="P73" s="951"/>
      <c r="Q73" s="951"/>
      <c r="R73" s="1024"/>
      <c r="S73" s="951"/>
      <c r="T73" s="951"/>
      <c r="U73" s="1024"/>
      <c r="V73" s="951"/>
      <c r="W73" s="951"/>
    </row>
    <row r="74" spans="1:23" s="575" customFormat="1" ht="15" hidden="1" customHeight="1">
      <c r="A74" s="955">
        <v>12</v>
      </c>
      <c r="B74" s="954" t="s">
        <v>1150</v>
      </c>
      <c r="C74" s="1025" t="s">
        <v>1151</v>
      </c>
      <c r="D74" s="954" t="s">
        <v>236</v>
      </c>
      <c r="E74" s="1028" t="s">
        <v>1152</v>
      </c>
      <c r="F74" s="955" t="s">
        <v>993</v>
      </c>
      <c r="G74" s="576">
        <f>G76+G75+G77+G78</f>
        <v>2703695</v>
      </c>
      <c r="H74" s="576">
        <f>H76+H75+H77+H78</f>
        <v>2455695</v>
      </c>
      <c r="I74" s="958" t="s">
        <v>13</v>
      </c>
      <c r="J74" s="1024">
        <f t="shared" ref="J74" si="131">K74+N74</f>
        <v>248000</v>
      </c>
      <c r="K74" s="1024">
        <f t="shared" ref="K74" si="132">L74+M74</f>
        <v>186000</v>
      </c>
      <c r="L74" s="951">
        <v>186000</v>
      </c>
      <c r="M74" s="951">
        <v>0</v>
      </c>
      <c r="N74" s="1024">
        <f t="shared" ref="N74" si="133">O74+R74+U74</f>
        <v>62000</v>
      </c>
      <c r="O74" s="1024">
        <f t="shared" ref="O74" si="134">P74+Q74</f>
        <v>62000</v>
      </c>
      <c r="P74" s="951">
        <v>62000</v>
      </c>
      <c r="Q74" s="951">
        <v>0</v>
      </c>
      <c r="R74" s="1024">
        <f t="shared" ref="R74" si="135">S74+T74</f>
        <v>0</v>
      </c>
      <c r="S74" s="951">
        <v>0</v>
      </c>
      <c r="T74" s="951">
        <v>0</v>
      </c>
      <c r="U74" s="1024">
        <f t="shared" ref="U74" si="136">V74+W74</f>
        <v>0</v>
      </c>
      <c r="V74" s="951">
        <v>0</v>
      </c>
      <c r="W74" s="951">
        <v>0</v>
      </c>
    </row>
    <row r="75" spans="1:23" s="575" customFormat="1" ht="15" hidden="1" customHeight="1">
      <c r="A75" s="955"/>
      <c r="B75" s="954"/>
      <c r="C75" s="1026"/>
      <c r="D75" s="954"/>
      <c r="E75" s="1028"/>
      <c r="F75" s="955"/>
      <c r="G75" s="576">
        <v>2027771</v>
      </c>
      <c r="H75" s="576">
        <v>1841771</v>
      </c>
      <c r="I75" s="959"/>
      <c r="J75" s="1024"/>
      <c r="K75" s="1024"/>
      <c r="L75" s="951"/>
      <c r="M75" s="951"/>
      <c r="N75" s="1024"/>
      <c r="O75" s="1024"/>
      <c r="P75" s="951"/>
      <c r="Q75" s="951"/>
      <c r="R75" s="1024"/>
      <c r="S75" s="951"/>
      <c r="T75" s="951"/>
      <c r="U75" s="1024"/>
      <c r="V75" s="951"/>
      <c r="W75" s="951"/>
    </row>
    <row r="76" spans="1:23" s="575" customFormat="1" ht="15" hidden="1" customHeight="1">
      <c r="A76" s="955"/>
      <c r="B76" s="954"/>
      <c r="C76" s="1026"/>
      <c r="D76" s="954"/>
      <c r="E76" s="1028"/>
      <c r="F76" s="955"/>
      <c r="G76" s="576">
        <v>675924</v>
      </c>
      <c r="H76" s="576">
        <v>613924</v>
      </c>
      <c r="I76" s="548" t="s">
        <v>14</v>
      </c>
      <c r="J76" s="577">
        <f t="shared" ref="J76" si="137">K76+N76</f>
        <v>0</v>
      </c>
      <c r="K76" s="577">
        <f t="shared" ref="K76" si="138">L76+M76</f>
        <v>0</v>
      </c>
      <c r="L76" s="551">
        <v>0</v>
      </c>
      <c r="M76" s="551">
        <v>0</v>
      </c>
      <c r="N76" s="577">
        <f t="shared" ref="N76" si="139">O76+R76+U76</f>
        <v>0</v>
      </c>
      <c r="O76" s="577">
        <f t="shared" ref="O76" si="140">P76+Q76</f>
        <v>0</v>
      </c>
      <c r="P76" s="551">
        <v>0</v>
      </c>
      <c r="Q76" s="551">
        <v>0</v>
      </c>
      <c r="R76" s="577">
        <f t="shared" ref="R76" si="141">S76+T76</f>
        <v>0</v>
      </c>
      <c r="S76" s="551">
        <v>0</v>
      </c>
      <c r="T76" s="551">
        <v>0</v>
      </c>
      <c r="U76" s="577">
        <f t="shared" ref="U76" si="142">V76+W76</f>
        <v>0</v>
      </c>
      <c r="V76" s="551">
        <v>0</v>
      </c>
      <c r="W76" s="551">
        <v>0</v>
      </c>
    </row>
    <row r="77" spans="1:23" s="575" customFormat="1" ht="15" hidden="1" customHeight="1">
      <c r="A77" s="955"/>
      <c r="B77" s="954"/>
      <c r="C77" s="1026"/>
      <c r="D77" s="954"/>
      <c r="E77" s="1028"/>
      <c r="F77" s="955"/>
      <c r="G77" s="576">
        <v>0</v>
      </c>
      <c r="H77" s="576">
        <v>0</v>
      </c>
      <c r="I77" s="958" t="s">
        <v>15</v>
      </c>
      <c r="J77" s="1024">
        <f t="shared" ref="J77:W77" si="143">J74+J76</f>
        <v>248000</v>
      </c>
      <c r="K77" s="1024">
        <f t="shared" si="143"/>
        <v>186000</v>
      </c>
      <c r="L77" s="951">
        <f t="shared" si="143"/>
        <v>186000</v>
      </c>
      <c r="M77" s="951">
        <f t="shared" si="143"/>
        <v>0</v>
      </c>
      <c r="N77" s="1024">
        <f t="shared" si="143"/>
        <v>62000</v>
      </c>
      <c r="O77" s="1024">
        <f t="shared" si="143"/>
        <v>62000</v>
      </c>
      <c r="P77" s="951">
        <f t="shared" si="143"/>
        <v>62000</v>
      </c>
      <c r="Q77" s="951">
        <f t="shared" si="143"/>
        <v>0</v>
      </c>
      <c r="R77" s="1024">
        <f t="shared" si="143"/>
        <v>0</v>
      </c>
      <c r="S77" s="951">
        <f t="shared" si="143"/>
        <v>0</v>
      </c>
      <c r="T77" s="951">
        <f t="shared" si="143"/>
        <v>0</v>
      </c>
      <c r="U77" s="1024">
        <f t="shared" si="143"/>
        <v>0</v>
      </c>
      <c r="V77" s="951">
        <f t="shared" si="143"/>
        <v>0</v>
      </c>
      <c r="W77" s="951">
        <f t="shared" si="143"/>
        <v>0</v>
      </c>
    </row>
    <row r="78" spans="1:23" s="575" customFormat="1" ht="15" hidden="1" customHeight="1">
      <c r="A78" s="955"/>
      <c r="B78" s="954"/>
      <c r="C78" s="1027"/>
      <c r="D78" s="954"/>
      <c r="E78" s="1028"/>
      <c r="F78" s="955"/>
      <c r="G78" s="576">
        <v>0</v>
      </c>
      <c r="H78" s="576">
        <v>0</v>
      </c>
      <c r="I78" s="959"/>
      <c r="J78" s="1024"/>
      <c r="K78" s="1024"/>
      <c r="L78" s="951"/>
      <c r="M78" s="951"/>
      <c r="N78" s="1024"/>
      <c r="O78" s="1024"/>
      <c r="P78" s="951"/>
      <c r="Q78" s="951"/>
      <c r="R78" s="1024"/>
      <c r="S78" s="951"/>
      <c r="T78" s="951"/>
      <c r="U78" s="1024"/>
      <c r="V78" s="951"/>
      <c r="W78" s="951"/>
    </row>
    <row r="79" spans="1:23" s="575" customFormat="1" ht="15" hidden="1" customHeight="1">
      <c r="A79" s="955">
        <v>13</v>
      </c>
      <c r="B79" s="981" t="s">
        <v>1153</v>
      </c>
      <c r="C79" s="1025" t="s">
        <v>1154</v>
      </c>
      <c r="D79" s="986" t="s">
        <v>1136</v>
      </c>
      <c r="E79" s="1029" t="s">
        <v>1049</v>
      </c>
      <c r="F79" s="987" t="s">
        <v>1028</v>
      </c>
      <c r="G79" s="576">
        <f>G80+G81+G82+G83</f>
        <v>620615</v>
      </c>
      <c r="H79" s="576">
        <f>H80+H81+H82+H83</f>
        <v>343418</v>
      </c>
      <c r="I79" s="958" t="s">
        <v>13</v>
      </c>
      <c r="J79" s="1024">
        <f t="shared" ref="J79" si="144">K79+N79</f>
        <v>97160</v>
      </c>
      <c r="K79" s="1024">
        <f t="shared" ref="K79" si="145">L79+M79</f>
        <v>97160</v>
      </c>
      <c r="L79" s="951">
        <v>97160</v>
      </c>
      <c r="M79" s="951">
        <v>0</v>
      </c>
      <c r="N79" s="1024">
        <f t="shared" ref="N79" si="146">O79+R79+U79</f>
        <v>0</v>
      </c>
      <c r="O79" s="1024">
        <f t="shared" ref="O79" si="147">P79+Q79</f>
        <v>0</v>
      </c>
      <c r="P79" s="951">
        <v>0</v>
      </c>
      <c r="Q79" s="951">
        <v>0</v>
      </c>
      <c r="R79" s="1024">
        <f t="shared" ref="R79" si="148">S79+T79</f>
        <v>0</v>
      </c>
      <c r="S79" s="951">
        <v>0</v>
      </c>
      <c r="T79" s="951">
        <v>0</v>
      </c>
      <c r="U79" s="1024">
        <f t="shared" ref="U79" si="149">V79+W79</f>
        <v>0</v>
      </c>
      <c r="V79" s="951">
        <v>0</v>
      </c>
      <c r="W79" s="951">
        <v>0</v>
      </c>
    </row>
    <row r="80" spans="1:23" s="575" customFormat="1" ht="15" hidden="1" customHeight="1">
      <c r="A80" s="955"/>
      <c r="B80" s="982"/>
      <c r="C80" s="1026"/>
      <c r="D80" s="986"/>
      <c r="E80" s="1029"/>
      <c r="F80" s="987"/>
      <c r="G80" s="576">
        <v>620615</v>
      </c>
      <c r="H80" s="576">
        <v>343418</v>
      </c>
      <c r="I80" s="959"/>
      <c r="J80" s="1024"/>
      <c r="K80" s="1024"/>
      <c r="L80" s="951"/>
      <c r="M80" s="951"/>
      <c r="N80" s="1024"/>
      <c r="O80" s="1024"/>
      <c r="P80" s="951"/>
      <c r="Q80" s="951"/>
      <c r="R80" s="1024"/>
      <c r="S80" s="951"/>
      <c r="T80" s="951"/>
      <c r="U80" s="1024"/>
      <c r="V80" s="951"/>
      <c r="W80" s="951"/>
    </row>
    <row r="81" spans="1:23" s="575" customFormat="1" ht="15" hidden="1" customHeight="1">
      <c r="A81" s="955"/>
      <c r="B81" s="982"/>
      <c r="C81" s="1026"/>
      <c r="D81" s="986"/>
      <c r="E81" s="1029"/>
      <c r="F81" s="987"/>
      <c r="G81" s="576">
        <v>0</v>
      </c>
      <c r="H81" s="576">
        <v>0</v>
      </c>
      <c r="I81" s="548" t="s">
        <v>14</v>
      </c>
      <c r="J81" s="577">
        <f t="shared" ref="J81" si="150">K81+N81</f>
        <v>0</v>
      </c>
      <c r="K81" s="577">
        <f t="shared" ref="K81" si="151">L81+M81</f>
        <v>0</v>
      </c>
      <c r="L81" s="551">
        <v>0</v>
      </c>
      <c r="M81" s="551">
        <v>0</v>
      </c>
      <c r="N81" s="577">
        <f t="shared" ref="N81" si="152">O81+R81+U81</f>
        <v>0</v>
      </c>
      <c r="O81" s="577">
        <f t="shared" ref="O81" si="153">P81+Q81</f>
        <v>0</v>
      </c>
      <c r="P81" s="551">
        <v>0</v>
      </c>
      <c r="Q81" s="551">
        <v>0</v>
      </c>
      <c r="R81" s="577">
        <f t="shared" ref="R81" si="154">S81+T81</f>
        <v>0</v>
      </c>
      <c r="S81" s="551">
        <v>0</v>
      </c>
      <c r="T81" s="551">
        <v>0</v>
      </c>
      <c r="U81" s="577">
        <f t="shared" ref="U81" si="155">V81+W81</f>
        <v>0</v>
      </c>
      <c r="V81" s="551">
        <v>0</v>
      </c>
      <c r="W81" s="551">
        <v>0</v>
      </c>
    </row>
    <row r="82" spans="1:23" s="575" customFormat="1" ht="15" hidden="1" customHeight="1">
      <c r="A82" s="955"/>
      <c r="B82" s="982"/>
      <c r="C82" s="1026"/>
      <c r="D82" s="986"/>
      <c r="E82" s="1029"/>
      <c r="F82" s="987"/>
      <c r="G82" s="576">
        <v>0</v>
      </c>
      <c r="H82" s="576">
        <v>0</v>
      </c>
      <c r="I82" s="958" t="s">
        <v>15</v>
      </c>
      <c r="J82" s="1024">
        <f t="shared" ref="J82:W82" si="156">J79+J81</f>
        <v>97160</v>
      </c>
      <c r="K82" s="1024">
        <f t="shared" si="156"/>
        <v>97160</v>
      </c>
      <c r="L82" s="951">
        <f t="shared" si="156"/>
        <v>97160</v>
      </c>
      <c r="M82" s="951">
        <f t="shared" si="156"/>
        <v>0</v>
      </c>
      <c r="N82" s="1024">
        <f t="shared" si="156"/>
        <v>0</v>
      </c>
      <c r="O82" s="1024">
        <f t="shared" si="156"/>
        <v>0</v>
      </c>
      <c r="P82" s="951">
        <f t="shared" si="156"/>
        <v>0</v>
      </c>
      <c r="Q82" s="951">
        <f t="shared" si="156"/>
        <v>0</v>
      </c>
      <c r="R82" s="1024">
        <f t="shared" si="156"/>
        <v>0</v>
      </c>
      <c r="S82" s="951">
        <f t="shared" si="156"/>
        <v>0</v>
      </c>
      <c r="T82" s="951">
        <f t="shared" si="156"/>
        <v>0</v>
      </c>
      <c r="U82" s="1024">
        <f t="shared" si="156"/>
        <v>0</v>
      </c>
      <c r="V82" s="951">
        <f t="shared" si="156"/>
        <v>0</v>
      </c>
      <c r="W82" s="951">
        <f t="shared" si="156"/>
        <v>0</v>
      </c>
    </row>
    <row r="83" spans="1:23" s="575" customFormat="1" ht="15" hidden="1" customHeight="1">
      <c r="A83" s="955"/>
      <c r="B83" s="983"/>
      <c r="C83" s="1027"/>
      <c r="D83" s="986"/>
      <c r="E83" s="1029"/>
      <c r="F83" s="987"/>
      <c r="G83" s="576">
        <v>0</v>
      </c>
      <c r="H83" s="576">
        <v>0</v>
      </c>
      <c r="I83" s="959"/>
      <c r="J83" s="1024"/>
      <c r="K83" s="1024"/>
      <c r="L83" s="951"/>
      <c r="M83" s="951"/>
      <c r="N83" s="1024"/>
      <c r="O83" s="1024"/>
      <c r="P83" s="951"/>
      <c r="Q83" s="951"/>
      <c r="R83" s="1024"/>
      <c r="S83" s="951"/>
      <c r="T83" s="951"/>
      <c r="U83" s="1024"/>
      <c r="V83" s="951"/>
      <c r="W83" s="951"/>
    </row>
    <row r="84" spans="1:23" s="575" customFormat="1" ht="15" customHeight="1">
      <c r="A84" s="955">
        <v>1</v>
      </c>
      <c r="B84" s="981" t="s">
        <v>1155</v>
      </c>
      <c r="C84" s="1031" t="s">
        <v>1156</v>
      </c>
      <c r="D84" s="954" t="s">
        <v>236</v>
      </c>
      <c r="E84" s="1028" t="s">
        <v>1157</v>
      </c>
      <c r="F84" s="955" t="s">
        <v>975</v>
      </c>
      <c r="G84" s="576">
        <f>G85+G86+G87+G88</f>
        <v>789965</v>
      </c>
      <c r="H84" s="576">
        <f>H85+H86+H87+H88</f>
        <v>347220</v>
      </c>
      <c r="I84" s="958" t="s">
        <v>13</v>
      </c>
      <c r="J84" s="1024">
        <f t="shared" ref="J84" si="157">K84+N84</f>
        <v>267112</v>
      </c>
      <c r="K84" s="1024">
        <f t="shared" ref="K84" si="158">L84+M84</f>
        <v>227045</v>
      </c>
      <c r="L84" s="951">
        <v>227045</v>
      </c>
      <c r="M84" s="951">
        <v>0</v>
      </c>
      <c r="N84" s="1024">
        <f t="shared" ref="N84" si="159">O84+R84+U84</f>
        <v>40067</v>
      </c>
      <c r="O84" s="1024">
        <f t="shared" ref="O84" si="160">P84+Q84</f>
        <v>0</v>
      </c>
      <c r="P84" s="951">
        <v>0</v>
      </c>
      <c r="Q84" s="951">
        <v>0</v>
      </c>
      <c r="R84" s="1024">
        <f t="shared" ref="R84" si="161">S84+T84</f>
        <v>40067</v>
      </c>
      <c r="S84" s="951">
        <v>40067</v>
      </c>
      <c r="T84" s="951">
        <v>0</v>
      </c>
      <c r="U84" s="1024">
        <f t="shared" ref="U84" si="162">V84+W84</f>
        <v>0</v>
      </c>
      <c r="V84" s="951">
        <v>0</v>
      </c>
      <c r="W84" s="951">
        <v>0</v>
      </c>
    </row>
    <row r="85" spans="1:23" s="575" customFormat="1" ht="15" customHeight="1">
      <c r="A85" s="955"/>
      <c r="B85" s="982"/>
      <c r="C85" s="1032"/>
      <c r="D85" s="954"/>
      <c r="E85" s="1028"/>
      <c r="F85" s="955"/>
      <c r="G85" s="576">
        <v>671357</v>
      </c>
      <c r="H85" s="576">
        <v>295025</v>
      </c>
      <c r="I85" s="959"/>
      <c r="J85" s="1024"/>
      <c r="K85" s="1024"/>
      <c r="L85" s="951"/>
      <c r="M85" s="951"/>
      <c r="N85" s="1024"/>
      <c r="O85" s="1024"/>
      <c r="P85" s="951"/>
      <c r="Q85" s="951"/>
      <c r="R85" s="1024"/>
      <c r="S85" s="951"/>
      <c r="T85" s="951"/>
      <c r="U85" s="1024"/>
      <c r="V85" s="951"/>
      <c r="W85" s="951"/>
    </row>
    <row r="86" spans="1:23" s="575" customFormat="1" ht="15" customHeight="1">
      <c r="A86" s="955"/>
      <c r="B86" s="982"/>
      <c r="C86" s="1032"/>
      <c r="D86" s="954"/>
      <c r="E86" s="1028"/>
      <c r="F86" s="955"/>
      <c r="G86" s="576">
        <v>0</v>
      </c>
      <c r="H86" s="576">
        <v>0</v>
      </c>
      <c r="I86" s="548" t="s">
        <v>14</v>
      </c>
      <c r="J86" s="577">
        <f t="shared" ref="J86" si="163">K86+N86</f>
        <v>80888</v>
      </c>
      <c r="K86" s="577">
        <f t="shared" ref="K86" si="164">L86+M86</f>
        <v>68754</v>
      </c>
      <c r="L86" s="551">
        <v>68754</v>
      </c>
      <c r="M86" s="551">
        <v>0</v>
      </c>
      <c r="N86" s="577">
        <f t="shared" ref="N86" si="165">O86+R86+U86</f>
        <v>12134</v>
      </c>
      <c r="O86" s="577">
        <f t="shared" ref="O86" si="166">P86+Q86</f>
        <v>0</v>
      </c>
      <c r="P86" s="551">
        <v>0</v>
      </c>
      <c r="Q86" s="551">
        <v>0</v>
      </c>
      <c r="R86" s="577">
        <f t="shared" ref="R86" si="167">S86+T86</f>
        <v>12134</v>
      </c>
      <c r="S86" s="551">
        <v>12134</v>
      </c>
      <c r="T86" s="551">
        <v>0</v>
      </c>
      <c r="U86" s="577">
        <f t="shared" ref="U86" si="168">V86+W86</f>
        <v>0</v>
      </c>
      <c r="V86" s="551">
        <v>0</v>
      </c>
      <c r="W86" s="551">
        <v>0</v>
      </c>
    </row>
    <row r="87" spans="1:23" s="575" customFormat="1" ht="15" customHeight="1">
      <c r="A87" s="955"/>
      <c r="B87" s="982"/>
      <c r="C87" s="1032"/>
      <c r="D87" s="954"/>
      <c r="E87" s="1028"/>
      <c r="F87" s="955"/>
      <c r="G87" s="576">
        <v>118608</v>
      </c>
      <c r="H87" s="576">
        <v>52195</v>
      </c>
      <c r="I87" s="958" t="s">
        <v>15</v>
      </c>
      <c r="J87" s="1024">
        <f t="shared" ref="J87:W87" si="169">J84+J86</f>
        <v>348000</v>
      </c>
      <c r="K87" s="1024">
        <f t="shared" si="169"/>
        <v>295799</v>
      </c>
      <c r="L87" s="951">
        <f t="shared" si="169"/>
        <v>295799</v>
      </c>
      <c r="M87" s="951">
        <f t="shared" si="169"/>
        <v>0</v>
      </c>
      <c r="N87" s="1024">
        <f t="shared" si="169"/>
        <v>52201</v>
      </c>
      <c r="O87" s="1024">
        <f t="shared" si="169"/>
        <v>0</v>
      </c>
      <c r="P87" s="951">
        <f t="shared" si="169"/>
        <v>0</v>
      </c>
      <c r="Q87" s="951">
        <f t="shared" si="169"/>
        <v>0</v>
      </c>
      <c r="R87" s="1024">
        <f t="shared" si="169"/>
        <v>52201</v>
      </c>
      <c r="S87" s="951">
        <f t="shared" si="169"/>
        <v>52201</v>
      </c>
      <c r="T87" s="951">
        <f t="shared" si="169"/>
        <v>0</v>
      </c>
      <c r="U87" s="1024">
        <f t="shared" si="169"/>
        <v>0</v>
      </c>
      <c r="V87" s="951">
        <f t="shared" si="169"/>
        <v>0</v>
      </c>
      <c r="W87" s="951">
        <f t="shared" si="169"/>
        <v>0</v>
      </c>
    </row>
    <row r="88" spans="1:23" s="575" customFormat="1" ht="15" customHeight="1">
      <c r="A88" s="955"/>
      <c r="B88" s="983"/>
      <c r="C88" s="1033"/>
      <c r="D88" s="954"/>
      <c r="E88" s="1028"/>
      <c r="F88" s="955"/>
      <c r="G88" s="576">
        <v>0</v>
      </c>
      <c r="H88" s="576">
        <v>0</v>
      </c>
      <c r="I88" s="959"/>
      <c r="J88" s="1024"/>
      <c r="K88" s="1024"/>
      <c r="L88" s="951"/>
      <c r="M88" s="951"/>
      <c r="N88" s="1024"/>
      <c r="O88" s="1024"/>
      <c r="P88" s="951"/>
      <c r="Q88" s="951"/>
      <c r="R88" s="1024"/>
      <c r="S88" s="951"/>
      <c r="T88" s="951"/>
      <c r="U88" s="1024"/>
      <c r="V88" s="951"/>
      <c r="W88" s="951"/>
    </row>
    <row r="89" spans="1:23" s="575" customFormat="1" ht="15" customHeight="1">
      <c r="A89" s="955">
        <v>2</v>
      </c>
      <c r="B89" s="981" t="s">
        <v>1158</v>
      </c>
      <c r="C89" s="1031" t="s">
        <v>1159</v>
      </c>
      <c r="D89" s="954" t="s">
        <v>236</v>
      </c>
      <c r="E89" s="1028" t="s">
        <v>1160</v>
      </c>
      <c r="F89" s="955" t="s">
        <v>959</v>
      </c>
      <c r="G89" s="576">
        <f>G90+G91+G92+G93</f>
        <v>489975</v>
      </c>
      <c r="H89" s="576">
        <f>H90+H91+H92+H93</f>
        <v>144834</v>
      </c>
      <c r="I89" s="958" t="s">
        <v>13</v>
      </c>
      <c r="J89" s="1024">
        <f t="shared" ref="J89" si="170">K89+N89</f>
        <v>322872</v>
      </c>
      <c r="K89" s="1024">
        <f t="shared" ref="K89" si="171">L89+M89</f>
        <v>274442</v>
      </c>
      <c r="L89" s="951">
        <v>274442</v>
      </c>
      <c r="M89" s="951">
        <v>0</v>
      </c>
      <c r="N89" s="1024">
        <f t="shared" ref="N89" si="172">O89+R89+U89</f>
        <v>48430</v>
      </c>
      <c r="O89" s="1024">
        <f t="shared" ref="O89" si="173">P89+Q89</f>
        <v>0</v>
      </c>
      <c r="P89" s="951">
        <v>0</v>
      </c>
      <c r="Q89" s="951">
        <v>0</v>
      </c>
      <c r="R89" s="1024">
        <f t="shared" ref="R89" si="174">S89+T89</f>
        <v>48430</v>
      </c>
      <c r="S89" s="951">
        <v>48430</v>
      </c>
      <c r="T89" s="951">
        <v>0</v>
      </c>
      <c r="U89" s="1024">
        <f t="shared" ref="U89" si="175">V89+W89</f>
        <v>0</v>
      </c>
      <c r="V89" s="951">
        <v>0</v>
      </c>
      <c r="W89" s="951">
        <v>0</v>
      </c>
    </row>
    <row r="90" spans="1:23" s="575" customFormat="1" ht="15" customHeight="1">
      <c r="A90" s="955"/>
      <c r="B90" s="982"/>
      <c r="C90" s="1032"/>
      <c r="D90" s="954"/>
      <c r="E90" s="1028"/>
      <c r="F90" s="955"/>
      <c r="G90" s="576">
        <v>416478</v>
      </c>
      <c r="H90" s="576">
        <v>123108</v>
      </c>
      <c r="I90" s="959"/>
      <c r="J90" s="1024"/>
      <c r="K90" s="1024"/>
      <c r="L90" s="951"/>
      <c r="M90" s="951"/>
      <c r="N90" s="1024"/>
      <c r="O90" s="1024"/>
      <c r="P90" s="951"/>
      <c r="Q90" s="951"/>
      <c r="R90" s="1024"/>
      <c r="S90" s="951"/>
      <c r="T90" s="951"/>
      <c r="U90" s="1024"/>
      <c r="V90" s="951"/>
      <c r="W90" s="951"/>
    </row>
    <row r="91" spans="1:23" s="575" customFormat="1" ht="15" customHeight="1">
      <c r="A91" s="955"/>
      <c r="B91" s="982"/>
      <c r="C91" s="1032"/>
      <c r="D91" s="954"/>
      <c r="E91" s="1028"/>
      <c r="F91" s="955"/>
      <c r="G91" s="576">
        <v>0</v>
      </c>
      <c r="H91" s="576">
        <v>0</v>
      </c>
      <c r="I91" s="548" t="s">
        <v>14</v>
      </c>
      <c r="J91" s="577">
        <f t="shared" ref="J91" si="176">K91+N91</f>
        <v>22269</v>
      </c>
      <c r="K91" s="577">
        <f t="shared" ref="K91" si="177">L91+M91</f>
        <v>18928</v>
      </c>
      <c r="L91" s="551">
        <v>18928</v>
      </c>
      <c r="M91" s="551">
        <v>0</v>
      </c>
      <c r="N91" s="577">
        <f t="shared" ref="N91" si="178">O91+R91+U91</f>
        <v>3341</v>
      </c>
      <c r="O91" s="577">
        <f t="shared" ref="O91" si="179">P91+Q91</f>
        <v>0</v>
      </c>
      <c r="P91" s="551">
        <v>0</v>
      </c>
      <c r="Q91" s="551">
        <v>0</v>
      </c>
      <c r="R91" s="577">
        <f t="shared" ref="R91" si="180">S91+T91</f>
        <v>3341</v>
      </c>
      <c r="S91" s="551">
        <v>3341</v>
      </c>
      <c r="T91" s="551">
        <v>0</v>
      </c>
      <c r="U91" s="577">
        <f t="shared" ref="U91" si="181">V91+W91</f>
        <v>0</v>
      </c>
      <c r="V91" s="551">
        <v>0</v>
      </c>
      <c r="W91" s="551">
        <v>0</v>
      </c>
    </row>
    <row r="92" spans="1:23" s="575" customFormat="1" ht="15" customHeight="1">
      <c r="A92" s="955"/>
      <c r="B92" s="982"/>
      <c r="C92" s="1032"/>
      <c r="D92" s="954"/>
      <c r="E92" s="1028"/>
      <c r="F92" s="955"/>
      <c r="G92" s="576">
        <v>73497</v>
      </c>
      <c r="H92" s="576">
        <v>21726</v>
      </c>
      <c r="I92" s="958" t="s">
        <v>15</v>
      </c>
      <c r="J92" s="1024">
        <f t="shared" ref="J92:W92" si="182">J89+J91</f>
        <v>345141</v>
      </c>
      <c r="K92" s="1024">
        <f t="shared" si="182"/>
        <v>293370</v>
      </c>
      <c r="L92" s="951">
        <f t="shared" si="182"/>
        <v>293370</v>
      </c>
      <c r="M92" s="951">
        <f t="shared" si="182"/>
        <v>0</v>
      </c>
      <c r="N92" s="1024">
        <f t="shared" si="182"/>
        <v>51771</v>
      </c>
      <c r="O92" s="1024">
        <f t="shared" si="182"/>
        <v>0</v>
      </c>
      <c r="P92" s="951">
        <f t="shared" si="182"/>
        <v>0</v>
      </c>
      <c r="Q92" s="951">
        <f t="shared" si="182"/>
        <v>0</v>
      </c>
      <c r="R92" s="1024">
        <f t="shared" si="182"/>
        <v>51771</v>
      </c>
      <c r="S92" s="951">
        <f t="shared" si="182"/>
        <v>51771</v>
      </c>
      <c r="T92" s="951">
        <f t="shared" si="182"/>
        <v>0</v>
      </c>
      <c r="U92" s="1024">
        <f t="shared" si="182"/>
        <v>0</v>
      </c>
      <c r="V92" s="951">
        <f t="shared" si="182"/>
        <v>0</v>
      </c>
      <c r="W92" s="951">
        <f t="shared" si="182"/>
        <v>0</v>
      </c>
    </row>
    <row r="93" spans="1:23" s="575" customFormat="1" ht="15" customHeight="1">
      <c r="A93" s="955"/>
      <c r="B93" s="983"/>
      <c r="C93" s="1033"/>
      <c r="D93" s="954"/>
      <c r="E93" s="1028"/>
      <c r="F93" s="955"/>
      <c r="G93" s="576">
        <v>0</v>
      </c>
      <c r="H93" s="576">
        <v>0</v>
      </c>
      <c r="I93" s="959"/>
      <c r="J93" s="1024"/>
      <c r="K93" s="1024"/>
      <c r="L93" s="951"/>
      <c r="M93" s="951"/>
      <c r="N93" s="1024"/>
      <c r="O93" s="1024"/>
      <c r="P93" s="951"/>
      <c r="Q93" s="951"/>
      <c r="R93" s="1024"/>
      <c r="S93" s="951"/>
      <c r="T93" s="951"/>
      <c r="U93" s="1024"/>
      <c r="V93" s="951"/>
      <c r="W93" s="951"/>
    </row>
    <row r="94" spans="1:23" s="575" customFormat="1" ht="15" customHeight="1">
      <c r="A94" s="955">
        <v>3</v>
      </c>
      <c r="B94" s="981" t="s">
        <v>1155</v>
      </c>
      <c r="C94" s="1031" t="s">
        <v>1161</v>
      </c>
      <c r="D94" s="954" t="s">
        <v>236</v>
      </c>
      <c r="E94" s="1028" t="s">
        <v>1162</v>
      </c>
      <c r="F94" s="955" t="s">
        <v>945</v>
      </c>
      <c r="G94" s="576">
        <f>G95+G96+G97+G98</f>
        <v>750698</v>
      </c>
      <c r="H94" s="576">
        <f>H95+H96+H97+H98</f>
        <v>596996</v>
      </c>
      <c r="I94" s="958" t="s">
        <v>13</v>
      </c>
      <c r="J94" s="1024">
        <f t="shared" ref="J94" si="183">K94+N94</f>
        <v>78638</v>
      </c>
      <c r="K94" s="1024">
        <f t="shared" ref="K94" si="184">L94+M94</f>
        <v>66842</v>
      </c>
      <c r="L94" s="951">
        <v>66842</v>
      </c>
      <c r="M94" s="951">
        <v>0</v>
      </c>
      <c r="N94" s="1024">
        <f t="shared" ref="N94" si="185">O94+R94+U94</f>
        <v>11796</v>
      </c>
      <c r="O94" s="1024">
        <f t="shared" ref="O94" si="186">P94+Q94</f>
        <v>0</v>
      </c>
      <c r="P94" s="951">
        <v>0</v>
      </c>
      <c r="Q94" s="951">
        <v>0</v>
      </c>
      <c r="R94" s="1024">
        <f t="shared" ref="R94" si="187">S94+T94</f>
        <v>11796</v>
      </c>
      <c r="S94" s="951">
        <v>11796</v>
      </c>
      <c r="T94" s="951">
        <v>0</v>
      </c>
      <c r="U94" s="1024">
        <f t="shared" ref="U94" si="188">V94+W94</f>
        <v>0</v>
      </c>
      <c r="V94" s="951">
        <v>0</v>
      </c>
      <c r="W94" s="951">
        <v>0</v>
      </c>
    </row>
    <row r="95" spans="1:23" s="575" customFormat="1" ht="15" customHeight="1">
      <c r="A95" s="955"/>
      <c r="B95" s="982"/>
      <c r="C95" s="1032"/>
      <c r="D95" s="954"/>
      <c r="E95" s="1028"/>
      <c r="F95" s="955"/>
      <c r="G95" s="576">
        <v>638093</v>
      </c>
      <c r="H95" s="576">
        <v>507446</v>
      </c>
      <c r="I95" s="959"/>
      <c r="J95" s="1024"/>
      <c r="K95" s="1024"/>
      <c r="L95" s="951"/>
      <c r="M95" s="951"/>
      <c r="N95" s="1024"/>
      <c r="O95" s="1024"/>
      <c r="P95" s="951"/>
      <c r="Q95" s="951"/>
      <c r="R95" s="1024"/>
      <c r="S95" s="951"/>
      <c r="T95" s="951"/>
      <c r="U95" s="1024"/>
      <c r="V95" s="951"/>
      <c r="W95" s="951"/>
    </row>
    <row r="96" spans="1:23" s="575" customFormat="1" ht="15" customHeight="1">
      <c r="A96" s="955"/>
      <c r="B96" s="982"/>
      <c r="C96" s="1032"/>
      <c r="D96" s="954"/>
      <c r="E96" s="1028"/>
      <c r="F96" s="955"/>
      <c r="G96" s="576">
        <v>0</v>
      </c>
      <c r="H96" s="576">
        <v>0</v>
      </c>
      <c r="I96" s="548" t="s">
        <v>14</v>
      </c>
      <c r="J96" s="577">
        <f t="shared" ref="J96" si="189">K96+N96</f>
        <v>38690</v>
      </c>
      <c r="K96" s="577">
        <f t="shared" ref="K96" si="190">L96+M96</f>
        <v>32887</v>
      </c>
      <c r="L96" s="551">
        <v>32887</v>
      </c>
      <c r="M96" s="551">
        <v>0</v>
      </c>
      <c r="N96" s="577">
        <f t="shared" ref="N96" si="191">O96+R96+U96</f>
        <v>5803</v>
      </c>
      <c r="O96" s="577">
        <f t="shared" ref="O96" si="192">P96+Q96</f>
        <v>0</v>
      </c>
      <c r="P96" s="551">
        <v>0</v>
      </c>
      <c r="Q96" s="551">
        <v>0</v>
      </c>
      <c r="R96" s="577">
        <f t="shared" ref="R96" si="193">S96+T96</f>
        <v>5803</v>
      </c>
      <c r="S96" s="551">
        <v>5803</v>
      </c>
      <c r="T96" s="551">
        <v>0</v>
      </c>
      <c r="U96" s="577">
        <f t="shared" ref="U96" si="194">V96+W96</f>
        <v>0</v>
      </c>
      <c r="V96" s="551">
        <v>0</v>
      </c>
      <c r="W96" s="551">
        <v>0</v>
      </c>
    </row>
    <row r="97" spans="1:256" s="575" customFormat="1" ht="15" customHeight="1">
      <c r="A97" s="955"/>
      <c r="B97" s="982"/>
      <c r="C97" s="1032"/>
      <c r="D97" s="954"/>
      <c r="E97" s="1028"/>
      <c r="F97" s="955"/>
      <c r="G97" s="576">
        <v>112605</v>
      </c>
      <c r="H97" s="576">
        <v>89550</v>
      </c>
      <c r="I97" s="958" t="s">
        <v>15</v>
      </c>
      <c r="J97" s="1024">
        <f t="shared" ref="J97:W97" si="195">J94+J96</f>
        <v>117328</v>
      </c>
      <c r="K97" s="1024">
        <f t="shared" si="195"/>
        <v>99729</v>
      </c>
      <c r="L97" s="951">
        <f t="shared" si="195"/>
        <v>99729</v>
      </c>
      <c r="M97" s="951">
        <f t="shared" si="195"/>
        <v>0</v>
      </c>
      <c r="N97" s="1024">
        <f t="shared" si="195"/>
        <v>17599</v>
      </c>
      <c r="O97" s="1024">
        <f t="shared" si="195"/>
        <v>0</v>
      </c>
      <c r="P97" s="951">
        <f t="shared" si="195"/>
        <v>0</v>
      </c>
      <c r="Q97" s="951">
        <f t="shared" si="195"/>
        <v>0</v>
      </c>
      <c r="R97" s="1024">
        <f t="shared" si="195"/>
        <v>17599</v>
      </c>
      <c r="S97" s="951">
        <f t="shared" si="195"/>
        <v>17599</v>
      </c>
      <c r="T97" s="951">
        <f t="shared" si="195"/>
        <v>0</v>
      </c>
      <c r="U97" s="1024">
        <f t="shared" si="195"/>
        <v>0</v>
      </c>
      <c r="V97" s="951">
        <f t="shared" si="195"/>
        <v>0</v>
      </c>
      <c r="W97" s="951">
        <f t="shared" si="195"/>
        <v>0</v>
      </c>
    </row>
    <row r="98" spans="1:256" s="575" customFormat="1" ht="15" customHeight="1">
      <c r="A98" s="955"/>
      <c r="B98" s="983"/>
      <c r="C98" s="1033"/>
      <c r="D98" s="954"/>
      <c r="E98" s="1028"/>
      <c r="F98" s="955"/>
      <c r="G98" s="576">
        <v>0</v>
      </c>
      <c r="H98" s="576">
        <v>0</v>
      </c>
      <c r="I98" s="959"/>
      <c r="J98" s="1024"/>
      <c r="K98" s="1024"/>
      <c r="L98" s="951"/>
      <c r="M98" s="951"/>
      <c r="N98" s="1024"/>
      <c r="O98" s="1024"/>
      <c r="P98" s="951"/>
      <c r="Q98" s="951"/>
      <c r="R98" s="1024"/>
      <c r="S98" s="951"/>
      <c r="T98" s="951"/>
      <c r="U98" s="1024"/>
      <c r="V98" s="951"/>
      <c r="W98" s="951"/>
    </row>
    <row r="99" spans="1:256" s="575" customFormat="1" ht="15" customHeight="1">
      <c r="A99" s="955">
        <v>4</v>
      </c>
      <c r="B99" s="981" t="s">
        <v>1155</v>
      </c>
      <c r="C99" s="1031" t="s">
        <v>1163</v>
      </c>
      <c r="D99" s="954" t="s">
        <v>236</v>
      </c>
      <c r="E99" s="1028" t="s">
        <v>1162</v>
      </c>
      <c r="F99" s="955" t="s">
        <v>945</v>
      </c>
      <c r="G99" s="576">
        <f>G100+G101+G102+G103</f>
        <v>662273</v>
      </c>
      <c r="H99" s="576">
        <f>H100+H101+H102+H103</f>
        <v>422810</v>
      </c>
      <c r="I99" s="958" t="s">
        <v>13</v>
      </c>
      <c r="J99" s="1024">
        <f t="shared" ref="J99" si="196">K99+N99</f>
        <v>275947</v>
      </c>
      <c r="K99" s="1024">
        <f t="shared" ref="K99" si="197">L99+M99</f>
        <v>234554</v>
      </c>
      <c r="L99" s="951">
        <v>234554</v>
      </c>
      <c r="M99" s="951">
        <v>0</v>
      </c>
      <c r="N99" s="1024">
        <f t="shared" ref="N99" si="198">O99+R99+U99</f>
        <v>41393</v>
      </c>
      <c r="O99" s="1024">
        <f t="shared" ref="O99" si="199">P99+Q99</f>
        <v>0</v>
      </c>
      <c r="P99" s="951">
        <v>0</v>
      </c>
      <c r="Q99" s="951">
        <v>0</v>
      </c>
      <c r="R99" s="1024">
        <f t="shared" ref="R99" si="200">S99+T99</f>
        <v>41393</v>
      </c>
      <c r="S99" s="951">
        <v>41393</v>
      </c>
      <c r="T99" s="951">
        <v>0</v>
      </c>
      <c r="U99" s="1024">
        <f t="shared" ref="U99" si="201">V99+W99</f>
        <v>0</v>
      </c>
      <c r="V99" s="951">
        <v>0</v>
      </c>
      <c r="W99" s="951">
        <v>0</v>
      </c>
    </row>
    <row r="100" spans="1:256" s="575" customFormat="1" ht="15" customHeight="1">
      <c r="A100" s="955"/>
      <c r="B100" s="982"/>
      <c r="C100" s="1032"/>
      <c r="D100" s="954"/>
      <c r="E100" s="1028"/>
      <c r="F100" s="955"/>
      <c r="G100" s="576">
        <v>562933</v>
      </c>
      <c r="H100" s="576">
        <v>359389</v>
      </c>
      <c r="I100" s="959"/>
      <c r="J100" s="1024"/>
      <c r="K100" s="1024"/>
      <c r="L100" s="951"/>
      <c r="M100" s="951"/>
      <c r="N100" s="1024"/>
      <c r="O100" s="1024"/>
      <c r="P100" s="951"/>
      <c r="Q100" s="951"/>
      <c r="R100" s="1024"/>
      <c r="S100" s="951"/>
      <c r="T100" s="951"/>
      <c r="U100" s="1024"/>
      <c r="V100" s="951"/>
      <c r="W100" s="951"/>
    </row>
    <row r="101" spans="1:256" s="575" customFormat="1" ht="15" customHeight="1">
      <c r="A101" s="955"/>
      <c r="B101" s="982"/>
      <c r="C101" s="1032"/>
      <c r="D101" s="954"/>
      <c r="E101" s="1028"/>
      <c r="F101" s="955"/>
      <c r="G101" s="576">
        <v>0</v>
      </c>
      <c r="H101" s="576">
        <v>0</v>
      </c>
      <c r="I101" s="548" t="s">
        <v>14</v>
      </c>
      <c r="J101" s="577">
        <f t="shared" ref="J101" si="202">K101+N101</f>
        <v>-89059</v>
      </c>
      <c r="K101" s="577">
        <f t="shared" ref="K101" si="203">L101+M101</f>
        <v>-75699</v>
      </c>
      <c r="L101" s="551">
        <v>-75699</v>
      </c>
      <c r="M101" s="551">
        <v>0</v>
      </c>
      <c r="N101" s="577">
        <f t="shared" ref="N101" si="204">O101+R101+U101</f>
        <v>-13360</v>
      </c>
      <c r="O101" s="577">
        <f t="shared" ref="O101" si="205">P101+Q101</f>
        <v>0</v>
      </c>
      <c r="P101" s="551">
        <v>0</v>
      </c>
      <c r="Q101" s="551">
        <v>0</v>
      </c>
      <c r="R101" s="577">
        <f t="shared" ref="R101" si="206">S101+T101</f>
        <v>-13360</v>
      </c>
      <c r="S101" s="551">
        <v>-13360</v>
      </c>
      <c r="T101" s="551">
        <v>0</v>
      </c>
      <c r="U101" s="577">
        <f t="shared" ref="U101" si="207">V101+W101</f>
        <v>0</v>
      </c>
      <c r="V101" s="551">
        <v>0</v>
      </c>
      <c r="W101" s="551">
        <v>0</v>
      </c>
    </row>
    <row r="102" spans="1:256" s="575" customFormat="1" ht="15" customHeight="1">
      <c r="A102" s="955"/>
      <c r="B102" s="982"/>
      <c r="C102" s="1032"/>
      <c r="D102" s="954"/>
      <c r="E102" s="1028"/>
      <c r="F102" s="955"/>
      <c r="G102" s="576">
        <v>99340</v>
      </c>
      <c r="H102" s="576">
        <v>63421</v>
      </c>
      <c r="I102" s="958" t="s">
        <v>15</v>
      </c>
      <c r="J102" s="1024">
        <f t="shared" ref="J102:W102" si="208">J99+J101</f>
        <v>186888</v>
      </c>
      <c r="K102" s="1024">
        <f t="shared" si="208"/>
        <v>158855</v>
      </c>
      <c r="L102" s="951">
        <f t="shared" si="208"/>
        <v>158855</v>
      </c>
      <c r="M102" s="951">
        <f t="shared" si="208"/>
        <v>0</v>
      </c>
      <c r="N102" s="1024">
        <f t="shared" si="208"/>
        <v>28033</v>
      </c>
      <c r="O102" s="1024">
        <f t="shared" si="208"/>
        <v>0</v>
      </c>
      <c r="P102" s="951">
        <f t="shared" si="208"/>
        <v>0</v>
      </c>
      <c r="Q102" s="951">
        <f t="shared" si="208"/>
        <v>0</v>
      </c>
      <c r="R102" s="1024">
        <f t="shared" si="208"/>
        <v>28033</v>
      </c>
      <c r="S102" s="951">
        <f t="shared" si="208"/>
        <v>28033</v>
      </c>
      <c r="T102" s="951">
        <f t="shared" si="208"/>
        <v>0</v>
      </c>
      <c r="U102" s="1024">
        <f t="shared" si="208"/>
        <v>0</v>
      </c>
      <c r="V102" s="951">
        <f t="shared" si="208"/>
        <v>0</v>
      </c>
      <c r="W102" s="951">
        <f t="shared" si="208"/>
        <v>0</v>
      </c>
    </row>
    <row r="103" spans="1:256" s="575" customFormat="1" ht="15" customHeight="1">
      <c r="A103" s="955"/>
      <c r="B103" s="983"/>
      <c r="C103" s="1033"/>
      <c r="D103" s="954"/>
      <c r="E103" s="1028"/>
      <c r="F103" s="955"/>
      <c r="G103" s="576">
        <v>0</v>
      </c>
      <c r="H103" s="576">
        <v>0</v>
      </c>
      <c r="I103" s="959"/>
      <c r="J103" s="1024"/>
      <c r="K103" s="1024"/>
      <c r="L103" s="951"/>
      <c r="M103" s="951"/>
      <c r="N103" s="1024"/>
      <c r="O103" s="1024"/>
      <c r="P103" s="951"/>
      <c r="Q103" s="951"/>
      <c r="R103" s="1024"/>
      <c r="S103" s="951"/>
      <c r="T103" s="951"/>
      <c r="U103" s="1024"/>
      <c r="V103" s="951"/>
      <c r="W103" s="951"/>
    </row>
    <row r="104" spans="1:256" s="575" customFormat="1" ht="15" customHeight="1">
      <c r="A104" s="955">
        <v>5</v>
      </c>
      <c r="B104" s="981" t="s">
        <v>1155</v>
      </c>
      <c r="C104" s="1031" t="s">
        <v>1164</v>
      </c>
      <c r="D104" s="954" t="s">
        <v>236</v>
      </c>
      <c r="E104" s="1028" t="s">
        <v>1162</v>
      </c>
      <c r="F104" s="955" t="s">
        <v>945</v>
      </c>
      <c r="G104" s="576">
        <f>G105+G106+G107+G108</f>
        <v>1064202</v>
      </c>
      <c r="H104" s="576">
        <f>H105+H106+H107+H108</f>
        <v>524488</v>
      </c>
      <c r="I104" s="958" t="s">
        <v>13</v>
      </c>
      <c r="J104" s="1024">
        <f t="shared" ref="J104" si="209">K104+N104</f>
        <v>143597</v>
      </c>
      <c r="K104" s="1024">
        <f t="shared" ref="K104" si="210">L104+M104</f>
        <v>122059</v>
      </c>
      <c r="L104" s="951">
        <v>122059</v>
      </c>
      <c r="M104" s="951">
        <v>0</v>
      </c>
      <c r="N104" s="1024">
        <f t="shared" ref="N104" si="211">O104+R104+U104</f>
        <v>21538</v>
      </c>
      <c r="O104" s="1024">
        <f t="shared" ref="O104" si="212">P104+Q104</f>
        <v>0</v>
      </c>
      <c r="P104" s="951">
        <v>0</v>
      </c>
      <c r="Q104" s="951">
        <v>0</v>
      </c>
      <c r="R104" s="1024">
        <f t="shared" ref="R104" si="213">S104+T104</f>
        <v>21538</v>
      </c>
      <c r="S104" s="951">
        <v>21538</v>
      </c>
      <c r="T104" s="951">
        <v>0</v>
      </c>
      <c r="U104" s="1024">
        <f t="shared" ref="U104" si="214">V104+W104</f>
        <v>0</v>
      </c>
      <c r="V104" s="951">
        <v>0</v>
      </c>
      <c r="W104" s="951">
        <v>0</v>
      </c>
    </row>
    <row r="105" spans="1:256" s="575" customFormat="1" ht="15" customHeight="1">
      <c r="A105" s="955"/>
      <c r="B105" s="982"/>
      <c r="C105" s="1032"/>
      <c r="D105" s="954"/>
      <c r="E105" s="1028"/>
      <c r="F105" s="955"/>
      <c r="G105" s="576">
        <v>904572</v>
      </c>
      <c r="H105" s="576">
        <v>445814</v>
      </c>
      <c r="I105" s="959"/>
      <c r="J105" s="1024"/>
      <c r="K105" s="1024"/>
      <c r="L105" s="951"/>
      <c r="M105" s="951"/>
      <c r="N105" s="1024"/>
      <c r="O105" s="1024"/>
      <c r="P105" s="951"/>
      <c r="Q105" s="951"/>
      <c r="R105" s="1024"/>
      <c r="S105" s="951"/>
      <c r="T105" s="951"/>
      <c r="U105" s="1024"/>
      <c r="V105" s="951"/>
      <c r="W105" s="951"/>
    </row>
    <row r="106" spans="1:256" s="575" customFormat="1" ht="15" customHeight="1">
      <c r="A106" s="955"/>
      <c r="B106" s="982"/>
      <c r="C106" s="1032"/>
      <c r="D106" s="954"/>
      <c r="E106" s="1028"/>
      <c r="F106" s="955"/>
      <c r="G106" s="576">
        <v>0</v>
      </c>
      <c r="H106" s="576">
        <v>0</v>
      </c>
      <c r="I106" s="548" t="s">
        <v>14</v>
      </c>
      <c r="J106" s="577">
        <f t="shared" ref="J106" si="215">K106+N106</f>
        <v>207004</v>
      </c>
      <c r="K106" s="577">
        <f t="shared" ref="K106" si="216">L106+M106</f>
        <v>175952</v>
      </c>
      <c r="L106" s="551">
        <v>175952</v>
      </c>
      <c r="M106" s="551">
        <v>0</v>
      </c>
      <c r="N106" s="577">
        <f t="shared" ref="N106" si="217">O106+R106+U106</f>
        <v>31052</v>
      </c>
      <c r="O106" s="577">
        <f t="shared" ref="O106" si="218">P106+Q106</f>
        <v>0</v>
      </c>
      <c r="P106" s="551">
        <v>0</v>
      </c>
      <c r="Q106" s="551">
        <v>0</v>
      </c>
      <c r="R106" s="577">
        <f t="shared" ref="R106" si="219">S106+T106</f>
        <v>31052</v>
      </c>
      <c r="S106" s="551">
        <v>31052</v>
      </c>
      <c r="T106" s="551">
        <v>0</v>
      </c>
      <c r="U106" s="577">
        <f t="shared" ref="U106" si="220">V106+W106</f>
        <v>0</v>
      </c>
      <c r="V106" s="551">
        <v>0</v>
      </c>
      <c r="W106" s="551">
        <v>0</v>
      </c>
    </row>
    <row r="107" spans="1:256" s="578" customFormat="1">
      <c r="A107" s="955"/>
      <c r="B107" s="982"/>
      <c r="C107" s="1032"/>
      <c r="D107" s="954"/>
      <c r="E107" s="1028"/>
      <c r="F107" s="955"/>
      <c r="G107" s="576">
        <v>159630</v>
      </c>
      <c r="H107" s="576">
        <v>78674</v>
      </c>
      <c r="I107" s="958" t="s">
        <v>15</v>
      </c>
      <c r="J107" s="1024">
        <f t="shared" ref="J107:W107" si="221">J104+J106</f>
        <v>350601</v>
      </c>
      <c r="K107" s="1024">
        <f t="shared" si="221"/>
        <v>298011</v>
      </c>
      <c r="L107" s="951">
        <f t="shared" si="221"/>
        <v>298011</v>
      </c>
      <c r="M107" s="951">
        <f t="shared" si="221"/>
        <v>0</v>
      </c>
      <c r="N107" s="1024">
        <f t="shared" si="221"/>
        <v>52590</v>
      </c>
      <c r="O107" s="1024">
        <f t="shared" si="221"/>
        <v>0</v>
      </c>
      <c r="P107" s="951">
        <f t="shared" si="221"/>
        <v>0</v>
      </c>
      <c r="Q107" s="951">
        <f t="shared" si="221"/>
        <v>0</v>
      </c>
      <c r="R107" s="1024">
        <f t="shared" si="221"/>
        <v>52590</v>
      </c>
      <c r="S107" s="951">
        <f t="shared" si="221"/>
        <v>52590</v>
      </c>
      <c r="T107" s="951">
        <f t="shared" si="221"/>
        <v>0</v>
      </c>
      <c r="U107" s="1024">
        <f t="shared" si="221"/>
        <v>0</v>
      </c>
      <c r="V107" s="951">
        <f t="shared" si="221"/>
        <v>0</v>
      </c>
      <c r="W107" s="951">
        <f t="shared" si="221"/>
        <v>0</v>
      </c>
      <c r="X107" s="575"/>
      <c r="Y107" s="575"/>
      <c r="Z107" s="575"/>
      <c r="AA107" s="575"/>
      <c r="AB107" s="575"/>
      <c r="AC107" s="575"/>
      <c r="AD107" s="575"/>
      <c r="AE107" s="575"/>
      <c r="AF107" s="575"/>
      <c r="AG107" s="575"/>
      <c r="AH107" s="575"/>
      <c r="AI107" s="575"/>
      <c r="AJ107" s="575"/>
      <c r="AK107" s="575"/>
      <c r="AL107" s="575"/>
      <c r="AM107" s="575"/>
      <c r="AN107" s="575"/>
      <c r="AO107" s="575"/>
      <c r="AP107" s="575"/>
      <c r="AQ107" s="575"/>
      <c r="AR107" s="575"/>
      <c r="AS107" s="575"/>
      <c r="AT107" s="575"/>
      <c r="AU107" s="575"/>
      <c r="AV107" s="575"/>
      <c r="AW107" s="575"/>
      <c r="AX107" s="575"/>
      <c r="AY107" s="575"/>
      <c r="AZ107" s="575"/>
      <c r="BA107" s="575"/>
      <c r="BB107" s="575"/>
      <c r="BC107" s="575"/>
      <c r="BD107" s="575"/>
      <c r="BE107" s="575"/>
      <c r="BF107" s="575"/>
      <c r="BG107" s="575"/>
      <c r="BH107" s="575"/>
      <c r="BI107" s="575"/>
      <c r="BJ107" s="575"/>
      <c r="BK107" s="575"/>
      <c r="BL107" s="575"/>
      <c r="BM107" s="575"/>
      <c r="BN107" s="575"/>
      <c r="BO107" s="575"/>
      <c r="BP107" s="575"/>
      <c r="BQ107" s="575"/>
      <c r="BR107" s="575"/>
      <c r="BS107" s="575"/>
      <c r="BT107" s="575"/>
      <c r="BU107" s="575"/>
      <c r="BV107" s="575"/>
      <c r="BW107" s="575"/>
      <c r="BX107" s="575"/>
      <c r="BY107" s="575"/>
      <c r="BZ107" s="575"/>
      <c r="CA107" s="575"/>
      <c r="CB107" s="575"/>
      <c r="CC107" s="575"/>
      <c r="CD107" s="575"/>
      <c r="CE107" s="575"/>
      <c r="CF107" s="575"/>
      <c r="CG107" s="575"/>
      <c r="CH107" s="575"/>
      <c r="CI107" s="575"/>
      <c r="CJ107" s="575"/>
      <c r="CK107" s="575"/>
      <c r="CL107" s="575"/>
      <c r="CM107" s="575"/>
      <c r="CN107" s="575"/>
      <c r="CO107" s="575"/>
      <c r="CP107" s="575"/>
      <c r="CQ107" s="575"/>
      <c r="CR107" s="575"/>
      <c r="CS107" s="575"/>
      <c r="CT107" s="575"/>
      <c r="CU107" s="575"/>
      <c r="CV107" s="575"/>
      <c r="CW107" s="575"/>
      <c r="CX107" s="575"/>
      <c r="CY107" s="575"/>
      <c r="CZ107" s="575"/>
      <c r="DA107" s="575"/>
      <c r="DB107" s="575"/>
      <c r="DC107" s="575"/>
      <c r="DD107" s="575"/>
      <c r="DE107" s="575"/>
      <c r="DF107" s="575"/>
      <c r="DG107" s="575"/>
      <c r="DH107" s="575"/>
      <c r="DI107" s="575"/>
      <c r="DJ107" s="575"/>
      <c r="DK107" s="575"/>
      <c r="DL107" s="575"/>
      <c r="DM107" s="575"/>
      <c r="DN107" s="575"/>
      <c r="DO107" s="575"/>
      <c r="DP107" s="575"/>
      <c r="DQ107" s="575"/>
      <c r="DR107" s="575"/>
      <c r="DS107" s="575"/>
      <c r="DT107" s="575"/>
      <c r="DU107" s="575"/>
      <c r="DV107" s="575"/>
      <c r="DW107" s="575"/>
      <c r="DX107" s="575"/>
      <c r="DY107" s="575"/>
      <c r="DZ107" s="575"/>
      <c r="EA107" s="575"/>
      <c r="EB107" s="575"/>
      <c r="EC107" s="575"/>
      <c r="ED107" s="575"/>
      <c r="EE107" s="575"/>
      <c r="EF107" s="575"/>
      <c r="EG107" s="575"/>
      <c r="EH107" s="575"/>
      <c r="EI107" s="575"/>
      <c r="EJ107" s="575"/>
      <c r="EK107" s="575"/>
      <c r="EL107" s="575"/>
      <c r="EM107" s="575"/>
      <c r="EN107" s="575"/>
      <c r="EO107" s="575"/>
      <c r="EP107" s="575"/>
      <c r="EQ107" s="575"/>
      <c r="ER107" s="575"/>
      <c r="ES107" s="575"/>
      <c r="ET107" s="575"/>
      <c r="EU107" s="575"/>
      <c r="EV107" s="575"/>
      <c r="EW107" s="575"/>
      <c r="EX107" s="575"/>
      <c r="EY107" s="575"/>
      <c r="EZ107" s="575"/>
      <c r="FA107" s="575"/>
      <c r="FB107" s="575"/>
      <c r="FC107" s="575"/>
      <c r="FD107" s="575"/>
      <c r="FE107" s="575"/>
      <c r="FF107" s="575"/>
      <c r="FG107" s="575"/>
      <c r="FH107" s="575"/>
      <c r="FI107" s="575"/>
      <c r="FJ107" s="575"/>
      <c r="FK107" s="575"/>
      <c r="FL107" s="575"/>
      <c r="FM107" s="575"/>
      <c r="FN107" s="575"/>
      <c r="FO107" s="575"/>
      <c r="FP107" s="575"/>
      <c r="FQ107" s="575"/>
      <c r="FR107" s="575"/>
      <c r="FS107" s="575"/>
      <c r="FT107" s="575"/>
      <c r="FU107" s="575"/>
      <c r="FV107" s="575"/>
      <c r="FW107" s="575"/>
      <c r="FX107" s="575"/>
      <c r="FY107" s="575"/>
      <c r="FZ107" s="575"/>
      <c r="GA107" s="575"/>
      <c r="GB107" s="575"/>
      <c r="GC107" s="575"/>
      <c r="GD107" s="575"/>
      <c r="GE107" s="575"/>
      <c r="GF107" s="575"/>
      <c r="GG107" s="575"/>
      <c r="GH107" s="575"/>
      <c r="GI107" s="575"/>
      <c r="GJ107" s="575"/>
      <c r="GK107" s="575"/>
      <c r="GL107" s="575"/>
      <c r="GM107" s="575"/>
      <c r="GN107" s="575"/>
      <c r="GO107" s="575"/>
      <c r="GP107" s="575"/>
      <c r="GQ107" s="575"/>
      <c r="GR107" s="575"/>
      <c r="GS107" s="575"/>
      <c r="GT107" s="575"/>
      <c r="GU107" s="575"/>
      <c r="GV107" s="575"/>
      <c r="GW107" s="575"/>
      <c r="GX107" s="575"/>
      <c r="GY107" s="575"/>
      <c r="GZ107" s="575"/>
      <c r="HA107" s="575"/>
      <c r="HB107" s="575"/>
      <c r="HC107" s="575"/>
      <c r="HD107" s="575"/>
      <c r="HE107" s="575"/>
      <c r="HF107" s="575"/>
      <c r="HG107" s="575"/>
      <c r="HH107" s="575"/>
      <c r="HI107" s="575"/>
      <c r="HJ107" s="575"/>
      <c r="HK107" s="575"/>
      <c r="HL107" s="575"/>
      <c r="HM107" s="575"/>
      <c r="HN107" s="575"/>
      <c r="HO107" s="575"/>
      <c r="HP107" s="575"/>
      <c r="HQ107" s="575"/>
      <c r="HR107" s="575"/>
      <c r="HS107" s="575"/>
      <c r="HT107" s="575"/>
      <c r="HU107" s="575"/>
      <c r="HV107" s="575"/>
      <c r="HW107" s="575"/>
      <c r="HX107" s="575"/>
      <c r="HY107" s="575"/>
      <c r="HZ107" s="575"/>
      <c r="IA107" s="575"/>
      <c r="IB107" s="575"/>
      <c r="IC107" s="575"/>
      <c r="ID107" s="575"/>
      <c r="IE107" s="575"/>
      <c r="IF107" s="575"/>
      <c r="IG107" s="575"/>
      <c r="IH107" s="575"/>
      <c r="II107" s="575"/>
      <c r="IJ107" s="575"/>
      <c r="IK107" s="575"/>
      <c r="IL107" s="575"/>
      <c r="IM107" s="575"/>
      <c r="IN107" s="575"/>
      <c r="IO107" s="575"/>
      <c r="IP107" s="575"/>
      <c r="IQ107" s="575"/>
      <c r="IR107" s="575"/>
      <c r="IS107" s="575"/>
      <c r="IT107" s="575"/>
      <c r="IU107" s="575"/>
      <c r="IV107" s="575"/>
    </row>
    <row r="108" spans="1:256" s="578" customFormat="1">
      <c r="A108" s="955"/>
      <c r="B108" s="983"/>
      <c r="C108" s="1033"/>
      <c r="D108" s="954"/>
      <c r="E108" s="1028"/>
      <c r="F108" s="955"/>
      <c r="G108" s="576">
        <v>0</v>
      </c>
      <c r="H108" s="576">
        <v>0</v>
      </c>
      <c r="I108" s="959"/>
      <c r="J108" s="1024"/>
      <c r="K108" s="1024"/>
      <c r="L108" s="951"/>
      <c r="M108" s="951"/>
      <c r="N108" s="1024"/>
      <c r="O108" s="1024"/>
      <c r="P108" s="951"/>
      <c r="Q108" s="951"/>
      <c r="R108" s="1024"/>
      <c r="S108" s="951"/>
      <c r="T108" s="951"/>
      <c r="U108" s="1024"/>
      <c r="V108" s="951"/>
      <c r="W108" s="951"/>
      <c r="X108" s="575"/>
      <c r="Y108" s="575"/>
      <c r="Z108" s="575"/>
      <c r="AA108" s="575"/>
      <c r="AB108" s="575"/>
      <c r="AC108" s="575"/>
      <c r="AD108" s="575"/>
      <c r="AE108" s="575"/>
      <c r="AF108" s="575"/>
      <c r="AG108" s="575"/>
      <c r="AH108" s="575"/>
      <c r="AI108" s="575"/>
      <c r="AJ108" s="575"/>
      <c r="AK108" s="575"/>
      <c r="AL108" s="575"/>
      <c r="AM108" s="575"/>
      <c r="AN108" s="575"/>
      <c r="AO108" s="575"/>
      <c r="AP108" s="575"/>
      <c r="AQ108" s="575"/>
      <c r="AR108" s="575"/>
      <c r="AS108" s="575"/>
      <c r="AT108" s="575"/>
      <c r="AU108" s="575"/>
      <c r="AV108" s="575"/>
      <c r="AW108" s="575"/>
      <c r="AX108" s="575"/>
      <c r="AY108" s="575"/>
      <c r="AZ108" s="575"/>
      <c r="BA108" s="575"/>
      <c r="BB108" s="575"/>
      <c r="BC108" s="575"/>
      <c r="BD108" s="575"/>
      <c r="BE108" s="575"/>
      <c r="BF108" s="575"/>
      <c r="BG108" s="575"/>
      <c r="BH108" s="575"/>
      <c r="BI108" s="575"/>
      <c r="BJ108" s="575"/>
      <c r="BK108" s="575"/>
      <c r="BL108" s="575"/>
      <c r="BM108" s="575"/>
      <c r="BN108" s="575"/>
      <c r="BO108" s="575"/>
      <c r="BP108" s="575"/>
      <c r="BQ108" s="575"/>
      <c r="BR108" s="575"/>
      <c r="BS108" s="575"/>
      <c r="BT108" s="575"/>
      <c r="BU108" s="575"/>
      <c r="BV108" s="575"/>
      <c r="BW108" s="575"/>
      <c r="BX108" s="575"/>
      <c r="BY108" s="575"/>
      <c r="BZ108" s="575"/>
      <c r="CA108" s="575"/>
      <c r="CB108" s="575"/>
      <c r="CC108" s="575"/>
      <c r="CD108" s="575"/>
      <c r="CE108" s="575"/>
      <c r="CF108" s="575"/>
      <c r="CG108" s="575"/>
      <c r="CH108" s="575"/>
      <c r="CI108" s="575"/>
      <c r="CJ108" s="575"/>
      <c r="CK108" s="575"/>
      <c r="CL108" s="575"/>
      <c r="CM108" s="575"/>
      <c r="CN108" s="575"/>
      <c r="CO108" s="575"/>
      <c r="CP108" s="575"/>
      <c r="CQ108" s="575"/>
      <c r="CR108" s="575"/>
      <c r="CS108" s="575"/>
      <c r="CT108" s="575"/>
      <c r="CU108" s="575"/>
      <c r="CV108" s="575"/>
      <c r="CW108" s="575"/>
      <c r="CX108" s="575"/>
      <c r="CY108" s="575"/>
      <c r="CZ108" s="575"/>
      <c r="DA108" s="575"/>
      <c r="DB108" s="575"/>
      <c r="DC108" s="575"/>
      <c r="DD108" s="575"/>
      <c r="DE108" s="575"/>
      <c r="DF108" s="575"/>
      <c r="DG108" s="575"/>
      <c r="DH108" s="575"/>
      <c r="DI108" s="575"/>
      <c r="DJ108" s="575"/>
      <c r="DK108" s="575"/>
      <c r="DL108" s="575"/>
      <c r="DM108" s="575"/>
      <c r="DN108" s="575"/>
      <c r="DO108" s="575"/>
      <c r="DP108" s="575"/>
      <c r="DQ108" s="575"/>
      <c r="DR108" s="575"/>
      <c r="DS108" s="575"/>
      <c r="DT108" s="575"/>
      <c r="DU108" s="575"/>
      <c r="DV108" s="575"/>
      <c r="DW108" s="575"/>
      <c r="DX108" s="575"/>
      <c r="DY108" s="575"/>
      <c r="DZ108" s="575"/>
      <c r="EA108" s="575"/>
      <c r="EB108" s="575"/>
      <c r="EC108" s="575"/>
      <c r="ED108" s="575"/>
      <c r="EE108" s="575"/>
      <c r="EF108" s="575"/>
      <c r="EG108" s="575"/>
      <c r="EH108" s="575"/>
      <c r="EI108" s="575"/>
      <c r="EJ108" s="575"/>
      <c r="EK108" s="575"/>
      <c r="EL108" s="575"/>
      <c r="EM108" s="575"/>
      <c r="EN108" s="575"/>
      <c r="EO108" s="575"/>
      <c r="EP108" s="575"/>
      <c r="EQ108" s="575"/>
      <c r="ER108" s="575"/>
      <c r="ES108" s="575"/>
      <c r="ET108" s="575"/>
      <c r="EU108" s="575"/>
      <c r="EV108" s="575"/>
      <c r="EW108" s="575"/>
      <c r="EX108" s="575"/>
      <c r="EY108" s="575"/>
      <c r="EZ108" s="575"/>
      <c r="FA108" s="575"/>
      <c r="FB108" s="575"/>
      <c r="FC108" s="575"/>
      <c r="FD108" s="575"/>
      <c r="FE108" s="575"/>
      <c r="FF108" s="575"/>
      <c r="FG108" s="575"/>
      <c r="FH108" s="575"/>
      <c r="FI108" s="575"/>
      <c r="FJ108" s="575"/>
      <c r="FK108" s="575"/>
      <c r="FL108" s="575"/>
      <c r="FM108" s="575"/>
      <c r="FN108" s="575"/>
      <c r="FO108" s="575"/>
      <c r="FP108" s="575"/>
      <c r="FQ108" s="575"/>
      <c r="FR108" s="575"/>
      <c r="FS108" s="575"/>
      <c r="FT108" s="575"/>
      <c r="FU108" s="575"/>
      <c r="FV108" s="575"/>
      <c r="FW108" s="575"/>
      <c r="FX108" s="575"/>
      <c r="FY108" s="575"/>
      <c r="FZ108" s="575"/>
      <c r="GA108" s="575"/>
      <c r="GB108" s="575"/>
      <c r="GC108" s="575"/>
      <c r="GD108" s="575"/>
      <c r="GE108" s="575"/>
      <c r="GF108" s="575"/>
      <c r="GG108" s="575"/>
      <c r="GH108" s="575"/>
      <c r="GI108" s="575"/>
      <c r="GJ108" s="575"/>
      <c r="GK108" s="575"/>
      <c r="GL108" s="575"/>
      <c r="GM108" s="575"/>
      <c r="GN108" s="575"/>
      <c r="GO108" s="575"/>
      <c r="GP108" s="575"/>
      <c r="GQ108" s="575"/>
      <c r="GR108" s="575"/>
      <c r="GS108" s="575"/>
      <c r="GT108" s="575"/>
      <c r="GU108" s="575"/>
      <c r="GV108" s="575"/>
      <c r="GW108" s="575"/>
      <c r="GX108" s="575"/>
      <c r="GY108" s="575"/>
      <c r="GZ108" s="575"/>
      <c r="HA108" s="575"/>
      <c r="HB108" s="575"/>
      <c r="HC108" s="575"/>
      <c r="HD108" s="575"/>
      <c r="HE108" s="575"/>
      <c r="HF108" s="575"/>
      <c r="HG108" s="575"/>
      <c r="HH108" s="575"/>
      <c r="HI108" s="575"/>
      <c r="HJ108" s="575"/>
      <c r="HK108" s="575"/>
      <c r="HL108" s="575"/>
      <c r="HM108" s="575"/>
      <c r="HN108" s="575"/>
      <c r="HO108" s="575"/>
      <c r="HP108" s="575"/>
      <c r="HQ108" s="575"/>
      <c r="HR108" s="575"/>
      <c r="HS108" s="575"/>
      <c r="HT108" s="575"/>
      <c r="HU108" s="575"/>
      <c r="HV108" s="575"/>
      <c r="HW108" s="575"/>
      <c r="HX108" s="575"/>
      <c r="HY108" s="575"/>
      <c r="HZ108" s="575"/>
      <c r="IA108" s="575"/>
      <c r="IB108" s="575"/>
      <c r="IC108" s="575"/>
      <c r="ID108" s="575"/>
      <c r="IE108" s="575"/>
      <c r="IF108" s="575"/>
      <c r="IG108" s="575"/>
      <c r="IH108" s="575"/>
      <c r="II108" s="575"/>
      <c r="IJ108" s="575"/>
      <c r="IK108" s="575"/>
      <c r="IL108" s="575"/>
      <c r="IM108" s="575"/>
      <c r="IN108" s="575"/>
      <c r="IO108" s="575"/>
      <c r="IP108" s="575"/>
      <c r="IQ108" s="575"/>
      <c r="IR108" s="575"/>
      <c r="IS108" s="575"/>
      <c r="IT108" s="575"/>
      <c r="IU108" s="575"/>
      <c r="IV108" s="575"/>
    </row>
    <row r="109" spans="1:256" s="578" customFormat="1">
      <c r="A109" s="955">
        <v>6</v>
      </c>
      <c r="B109" s="981" t="s">
        <v>1158</v>
      </c>
      <c r="C109" s="1031" t="s">
        <v>1165</v>
      </c>
      <c r="D109" s="954" t="s">
        <v>236</v>
      </c>
      <c r="E109" s="1028" t="s">
        <v>1160</v>
      </c>
      <c r="F109" s="955" t="s">
        <v>959</v>
      </c>
      <c r="G109" s="576">
        <f>G110+G111+G112+G113</f>
        <v>547260</v>
      </c>
      <c r="H109" s="576">
        <f>H110+H111+H112+H113</f>
        <v>348912</v>
      </c>
      <c r="I109" s="958" t="s">
        <v>13</v>
      </c>
      <c r="J109" s="1024">
        <f t="shared" ref="J109" si="222">K109+N109</f>
        <v>248409</v>
      </c>
      <c r="K109" s="1024">
        <f t="shared" ref="K109" si="223">L109+M109</f>
        <v>211149</v>
      </c>
      <c r="L109" s="951">
        <v>211149</v>
      </c>
      <c r="M109" s="951">
        <v>0</v>
      </c>
      <c r="N109" s="1024">
        <f t="shared" ref="N109" si="224">O109+R109+U109</f>
        <v>37260</v>
      </c>
      <c r="O109" s="1024">
        <f t="shared" ref="O109" si="225">P109+Q109</f>
        <v>0</v>
      </c>
      <c r="P109" s="951">
        <v>0</v>
      </c>
      <c r="Q109" s="951">
        <v>0</v>
      </c>
      <c r="R109" s="1024">
        <f t="shared" ref="R109" si="226">S109+T109</f>
        <v>37260</v>
      </c>
      <c r="S109" s="951">
        <v>37260</v>
      </c>
      <c r="T109" s="951">
        <v>0</v>
      </c>
      <c r="U109" s="1024">
        <f t="shared" ref="U109" si="227">V109+W109</f>
        <v>0</v>
      </c>
      <c r="V109" s="951">
        <v>0</v>
      </c>
      <c r="W109" s="951">
        <v>0</v>
      </c>
      <c r="X109" s="575"/>
      <c r="Y109" s="575"/>
      <c r="Z109" s="575"/>
      <c r="AA109" s="575"/>
      <c r="AB109" s="575"/>
      <c r="AC109" s="575"/>
      <c r="AD109" s="575"/>
      <c r="AE109" s="575"/>
      <c r="AF109" s="575"/>
      <c r="AG109" s="575"/>
      <c r="AH109" s="575"/>
      <c r="AI109" s="575"/>
      <c r="AJ109" s="575"/>
      <c r="AK109" s="575"/>
      <c r="AL109" s="575"/>
      <c r="AM109" s="575"/>
      <c r="AN109" s="575"/>
      <c r="AO109" s="575"/>
      <c r="AP109" s="575"/>
      <c r="AQ109" s="575"/>
      <c r="AR109" s="575"/>
      <c r="AS109" s="575"/>
      <c r="AT109" s="575"/>
      <c r="AU109" s="575"/>
      <c r="AV109" s="575"/>
      <c r="AW109" s="575"/>
      <c r="AX109" s="575"/>
      <c r="AY109" s="575"/>
      <c r="AZ109" s="575"/>
      <c r="BA109" s="575"/>
      <c r="BB109" s="575"/>
      <c r="BC109" s="575"/>
      <c r="BD109" s="575"/>
      <c r="BE109" s="575"/>
      <c r="BF109" s="575"/>
      <c r="BG109" s="575"/>
      <c r="BH109" s="575"/>
      <c r="BI109" s="575"/>
      <c r="BJ109" s="575"/>
      <c r="BK109" s="575"/>
      <c r="BL109" s="575"/>
      <c r="BM109" s="575"/>
      <c r="BN109" s="575"/>
      <c r="BO109" s="575"/>
      <c r="BP109" s="575"/>
      <c r="BQ109" s="575"/>
      <c r="BR109" s="575"/>
      <c r="BS109" s="575"/>
      <c r="BT109" s="575"/>
      <c r="BU109" s="575"/>
      <c r="BV109" s="575"/>
      <c r="BW109" s="575"/>
      <c r="BX109" s="575"/>
      <c r="BY109" s="575"/>
      <c r="BZ109" s="575"/>
      <c r="CA109" s="575"/>
      <c r="CB109" s="575"/>
      <c r="CC109" s="575"/>
      <c r="CD109" s="575"/>
      <c r="CE109" s="575"/>
      <c r="CF109" s="575"/>
      <c r="CG109" s="575"/>
      <c r="CH109" s="575"/>
      <c r="CI109" s="575"/>
      <c r="CJ109" s="575"/>
      <c r="CK109" s="575"/>
      <c r="CL109" s="575"/>
      <c r="CM109" s="575"/>
      <c r="CN109" s="575"/>
      <c r="CO109" s="575"/>
      <c r="CP109" s="575"/>
      <c r="CQ109" s="575"/>
      <c r="CR109" s="575"/>
      <c r="CS109" s="575"/>
      <c r="CT109" s="575"/>
      <c r="CU109" s="575"/>
      <c r="CV109" s="575"/>
      <c r="CW109" s="575"/>
      <c r="CX109" s="575"/>
      <c r="CY109" s="575"/>
      <c r="CZ109" s="575"/>
      <c r="DA109" s="575"/>
      <c r="DB109" s="575"/>
      <c r="DC109" s="575"/>
      <c r="DD109" s="575"/>
      <c r="DE109" s="575"/>
      <c r="DF109" s="575"/>
      <c r="DG109" s="575"/>
      <c r="DH109" s="575"/>
      <c r="DI109" s="575"/>
      <c r="DJ109" s="575"/>
      <c r="DK109" s="575"/>
      <c r="DL109" s="575"/>
      <c r="DM109" s="575"/>
      <c r="DN109" s="575"/>
      <c r="DO109" s="575"/>
      <c r="DP109" s="575"/>
      <c r="DQ109" s="575"/>
      <c r="DR109" s="575"/>
      <c r="DS109" s="575"/>
      <c r="DT109" s="575"/>
      <c r="DU109" s="575"/>
      <c r="DV109" s="575"/>
      <c r="DW109" s="575"/>
      <c r="DX109" s="575"/>
      <c r="DY109" s="575"/>
      <c r="DZ109" s="575"/>
      <c r="EA109" s="575"/>
      <c r="EB109" s="575"/>
      <c r="EC109" s="575"/>
      <c r="ED109" s="575"/>
      <c r="EE109" s="575"/>
      <c r="EF109" s="575"/>
      <c r="EG109" s="575"/>
      <c r="EH109" s="575"/>
      <c r="EI109" s="575"/>
      <c r="EJ109" s="575"/>
      <c r="EK109" s="575"/>
      <c r="EL109" s="575"/>
      <c r="EM109" s="575"/>
      <c r="EN109" s="575"/>
      <c r="EO109" s="575"/>
      <c r="EP109" s="575"/>
      <c r="EQ109" s="575"/>
      <c r="ER109" s="575"/>
      <c r="ES109" s="575"/>
      <c r="ET109" s="575"/>
      <c r="EU109" s="575"/>
      <c r="EV109" s="575"/>
      <c r="EW109" s="575"/>
      <c r="EX109" s="575"/>
      <c r="EY109" s="575"/>
      <c r="EZ109" s="575"/>
      <c r="FA109" s="575"/>
      <c r="FB109" s="575"/>
      <c r="FC109" s="575"/>
      <c r="FD109" s="575"/>
      <c r="FE109" s="575"/>
      <c r="FF109" s="575"/>
      <c r="FG109" s="575"/>
      <c r="FH109" s="575"/>
      <c r="FI109" s="575"/>
      <c r="FJ109" s="575"/>
      <c r="FK109" s="575"/>
      <c r="FL109" s="575"/>
      <c r="FM109" s="575"/>
      <c r="FN109" s="575"/>
      <c r="FO109" s="575"/>
      <c r="FP109" s="575"/>
      <c r="FQ109" s="575"/>
      <c r="FR109" s="575"/>
      <c r="FS109" s="575"/>
      <c r="FT109" s="575"/>
      <c r="FU109" s="575"/>
      <c r="FV109" s="575"/>
      <c r="FW109" s="575"/>
      <c r="FX109" s="575"/>
      <c r="FY109" s="575"/>
      <c r="FZ109" s="575"/>
      <c r="GA109" s="575"/>
      <c r="GB109" s="575"/>
      <c r="GC109" s="575"/>
      <c r="GD109" s="575"/>
      <c r="GE109" s="575"/>
      <c r="GF109" s="575"/>
      <c r="GG109" s="575"/>
      <c r="GH109" s="575"/>
      <c r="GI109" s="575"/>
      <c r="GJ109" s="575"/>
      <c r="GK109" s="575"/>
      <c r="GL109" s="575"/>
      <c r="GM109" s="575"/>
      <c r="GN109" s="575"/>
      <c r="GO109" s="575"/>
      <c r="GP109" s="575"/>
      <c r="GQ109" s="575"/>
      <c r="GR109" s="575"/>
      <c r="GS109" s="575"/>
      <c r="GT109" s="575"/>
      <c r="GU109" s="575"/>
      <c r="GV109" s="575"/>
      <c r="GW109" s="575"/>
      <c r="GX109" s="575"/>
      <c r="GY109" s="575"/>
      <c r="GZ109" s="575"/>
      <c r="HA109" s="575"/>
      <c r="HB109" s="575"/>
      <c r="HC109" s="575"/>
      <c r="HD109" s="575"/>
      <c r="HE109" s="575"/>
      <c r="HF109" s="575"/>
      <c r="HG109" s="575"/>
      <c r="HH109" s="575"/>
      <c r="HI109" s="575"/>
      <c r="HJ109" s="575"/>
      <c r="HK109" s="575"/>
      <c r="HL109" s="575"/>
      <c r="HM109" s="575"/>
      <c r="HN109" s="575"/>
      <c r="HO109" s="575"/>
      <c r="HP109" s="575"/>
      <c r="HQ109" s="575"/>
      <c r="HR109" s="575"/>
      <c r="HS109" s="575"/>
      <c r="HT109" s="575"/>
      <c r="HU109" s="575"/>
      <c r="HV109" s="575"/>
      <c r="HW109" s="575"/>
      <c r="HX109" s="575"/>
      <c r="HY109" s="575"/>
      <c r="HZ109" s="575"/>
      <c r="IA109" s="575"/>
      <c r="IB109" s="575"/>
      <c r="IC109" s="575"/>
      <c r="ID109" s="575"/>
      <c r="IE109" s="575"/>
      <c r="IF109" s="575"/>
      <c r="IG109" s="575"/>
      <c r="IH109" s="575"/>
      <c r="II109" s="575"/>
      <c r="IJ109" s="575"/>
      <c r="IK109" s="575"/>
      <c r="IL109" s="575"/>
      <c r="IM109" s="575"/>
      <c r="IN109" s="575"/>
      <c r="IO109" s="575"/>
      <c r="IP109" s="575"/>
      <c r="IQ109" s="575"/>
      <c r="IR109" s="575"/>
      <c r="IS109" s="575"/>
      <c r="IT109" s="575"/>
      <c r="IU109" s="575"/>
      <c r="IV109" s="575"/>
    </row>
    <row r="110" spans="1:256" s="578" customFormat="1">
      <c r="A110" s="955"/>
      <c r="B110" s="982"/>
      <c r="C110" s="1032"/>
      <c r="D110" s="954"/>
      <c r="E110" s="1028"/>
      <c r="F110" s="955"/>
      <c r="G110" s="576">
        <v>465171</v>
      </c>
      <c r="H110" s="576">
        <v>296575</v>
      </c>
      <c r="I110" s="959"/>
      <c r="J110" s="1024"/>
      <c r="K110" s="1024"/>
      <c r="L110" s="951"/>
      <c r="M110" s="951"/>
      <c r="N110" s="1024"/>
      <c r="O110" s="1024"/>
      <c r="P110" s="951"/>
      <c r="Q110" s="951"/>
      <c r="R110" s="1024"/>
      <c r="S110" s="951"/>
      <c r="T110" s="951"/>
      <c r="U110" s="1024"/>
      <c r="V110" s="951"/>
      <c r="W110" s="951"/>
      <c r="X110" s="575"/>
      <c r="Y110" s="575"/>
      <c r="Z110" s="575"/>
      <c r="AA110" s="575"/>
      <c r="AB110" s="575"/>
      <c r="AC110" s="575"/>
      <c r="AD110" s="575"/>
      <c r="AE110" s="575"/>
      <c r="AF110" s="575"/>
      <c r="AG110" s="575"/>
      <c r="AH110" s="575"/>
      <c r="AI110" s="575"/>
      <c r="AJ110" s="575"/>
      <c r="AK110" s="575"/>
      <c r="AL110" s="575"/>
      <c r="AM110" s="575"/>
      <c r="AN110" s="575"/>
      <c r="AO110" s="575"/>
      <c r="AP110" s="575"/>
      <c r="AQ110" s="575"/>
      <c r="AR110" s="575"/>
      <c r="AS110" s="575"/>
      <c r="AT110" s="575"/>
      <c r="AU110" s="575"/>
      <c r="AV110" s="575"/>
      <c r="AW110" s="575"/>
      <c r="AX110" s="575"/>
      <c r="AY110" s="575"/>
      <c r="AZ110" s="575"/>
      <c r="BA110" s="575"/>
      <c r="BB110" s="575"/>
      <c r="BC110" s="575"/>
      <c r="BD110" s="575"/>
      <c r="BE110" s="575"/>
      <c r="BF110" s="575"/>
      <c r="BG110" s="575"/>
      <c r="BH110" s="575"/>
      <c r="BI110" s="575"/>
      <c r="BJ110" s="575"/>
      <c r="BK110" s="575"/>
      <c r="BL110" s="575"/>
      <c r="BM110" s="575"/>
      <c r="BN110" s="575"/>
      <c r="BO110" s="575"/>
      <c r="BP110" s="575"/>
      <c r="BQ110" s="575"/>
      <c r="BR110" s="575"/>
      <c r="BS110" s="575"/>
      <c r="BT110" s="575"/>
      <c r="BU110" s="575"/>
      <c r="BV110" s="575"/>
      <c r="BW110" s="575"/>
      <c r="BX110" s="575"/>
      <c r="BY110" s="575"/>
      <c r="BZ110" s="575"/>
      <c r="CA110" s="575"/>
      <c r="CB110" s="575"/>
      <c r="CC110" s="575"/>
      <c r="CD110" s="575"/>
      <c r="CE110" s="575"/>
      <c r="CF110" s="575"/>
      <c r="CG110" s="575"/>
      <c r="CH110" s="575"/>
      <c r="CI110" s="575"/>
      <c r="CJ110" s="575"/>
      <c r="CK110" s="575"/>
      <c r="CL110" s="575"/>
      <c r="CM110" s="575"/>
      <c r="CN110" s="575"/>
      <c r="CO110" s="575"/>
      <c r="CP110" s="575"/>
      <c r="CQ110" s="575"/>
      <c r="CR110" s="575"/>
      <c r="CS110" s="575"/>
      <c r="CT110" s="575"/>
      <c r="CU110" s="575"/>
      <c r="CV110" s="575"/>
      <c r="CW110" s="575"/>
      <c r="CX110" s="575"/>
      <c r="CY110" s="575"/>
      <c r="CZ110" s="575"/>
      <c r="DA110" s="575"/>
      <c r="DB110" s="575"/>
      <c r="DC110" s="575"/>
      <c r="DD110" s="575"/>
      <c r="DE110" s="575"/>
      <c r="DF110" s="575"/>
      <c r="DG110" s="575"/>
      <c r="DH110" s="575"/>
      <c r="DI110" s="575"/>
      <c r="DJ110" s="575"/>
      <c r="DK110" s="575"/>
      <c r="DL110" s="575"/>
      <c r="DM110" s="575"/>
      <c r="DN110" s="575"/>
      <c r="DO110" s="575"/>
      <c r="DP110" s="575"/>
      <c r="DQ110" s="575"/>
      <c r="DR110" s="575"/>
      <c r="DS110" s="575"/>
      <c r="DT110" s="575"/>
      <c r="DU110" s="575"/>
      <c r="DV110" s="575"/>
      <c r="DW110" s="575"/>
      <c r="DX110" s="575"/>
      <c r="DY110" s="575"/>
      <c r="DZ110" s="575"/>
      <c r="EA110" s="575"/>
      <c r="EB110" s="575"/>
      <c r="EC110" s="575"/>
      <c r="ED110" s="575"/>
      <c r="EE110" s="575"/>
      <c r="EF110" s="575"/>
      <c r="EG110" s="575"/>
      <c r="EH110" s="575"/>
      <c r="EI110" s="575"/>
      <c r="EJ110" s="575"/>
      <c r="EK110" s="575"/>
      <c r="EL110" s="575"/>
      <c r="EM110" s="575"/>
      <c r="EN110" s="575"/>
      <c r="EO110" s="575"/>
      <c r="EP110" s="575"/>
      <c r="EQ110" s="575"/>
      <c r="ER110" s="575"/>
      <c r="ES110" s="575"/>
      <c r="ET110" s="575"/>
      <c r="EU110" s="575"/>
      <c r="EV110" s="575"/>
      <c r="EW110" s="575"/>
      <c r="EX110" s="575"/>
      <c r="EY110" s="575"/>
      <c r="EZ110" s="575"/>
      <c r="FA110" s="575"/>
      <c r="FB110" s="575"/>
      <c r="FC110" s="575"/>
      <c r="FD110" s="575"/>
      <c r="FE110" s="575"/>
      <c r="FF110" s="575"/>
      <c r="FG110" s="575"/>
      <c r="FH110" s="575"/>
      <c r="FI110" s="575"/>
      <c r="FJ110" s="575"/>
      <c r="FK110" s="575"/>
      <c r="FL110" s="575"/>
      <c r="FM110" s="575"/>
      <c r="FN110" s="575"/>
      <c r="FO110" s="575"/>
      <c r="FP110" s="575"/>
      <c r="FQ110" s="575"/>
      <c r="FR110" s="575"/>
      <c r="FS110" s="575"/>
      <c r="FT110" s="575"/>
      <c r="FU110" s="575"/>
      <c r="FV110" s="575"/>
      <c r="FW110" s="575"/>
      <c r="FX110" s="575"/>
      <c r="FY110" s="575"/>
      <c r="FZ110" s="575"/>
      <c r="GA110" s="575"/>
      <c r="GB110" s="575"/>
      <c r="GC110" s="575"/>
      <c r="GD110" s="575"/>
      <c r="GE110" s="575"/>
      <c r="GF110" s="575"/>
      <c r="GG110" s="575"/>
      <c r="GH110" s="575"/>
      <c r="GI110" s="575"/>
      <c r="GJ110" s="575"/>
      <c r="GK110" s="575"/>
      <c r="GL110" s="575"/>
      <c r="GM110" s="575"/>
      <c r="GN110" s="575"/>
      <c r="GO110" s="575"/>
      <c r="GP110" s="575"/>
      <c r="GQ110" s="575"/>
      <c r="GR110" s="575"/>
      <c r="GS110" s="575"/>
      <c r="GT110" s="575"/>
      <c r="GU110" s="575"/>
      <c r="GV110" s="575"/>
      <c r="GW110" s="575"/>
      <c r="GX110" s="575"/>
      <c r="GY110" s="575"/>
      <c r="GZ110" s="575"/>
      <c r="HA110" s="575"/>
      <c r="HB110" s="575"/>
      <c r="HC110" s="575"/>
      <c r="HD110" s="575"/>
      <c r="HE110" s="575"/>
      <c r="HF110" s="575"/>
      <c r="HG110" s="575"/>
      <c r="HH110" s="575"/>
      <c r="HI110" s="575"/>
      <c r="HJ110" s="575"/>
      <c r="HK110" s="575"/>
      <c r="HL110" s="575"/>
      <c r="HM110" s="575"/>
      <c r="HN110" s="575"/>
      <c r="HO110" s="575"/>
      <c r="HP110" s="575"/>
      <c r="HQ110" s="575"/>
      <c r="HR110" s="575"/>
      <c r="HS110" s="575"/>
      <c r="HT110" s="575"/>
      <c r="HU110" s="575"/>
      <c r="HV110" s="575"/>
      <c r="HW110" s="575"/>
      <c r="HX110" s="575"/>
      <c r="HY110" s="575"/>
      <c r="HZ110" s="575"/>
      <c r="IA110" s="575"/>
      <c r="IB110" s="575"/>
      <c r="IC110" s="575"/>
      <c r="ID110" s="575"/>
      <c r="IE110" s="575"/>
      <c r="IF110" s="575"/>
      <c r="IG110" s="575"/>
      <c r="IH110" s="575"/>
      <c r="II110" s="575"/>
      <c r="IJ110" s="575"/>
      <c r="IK110" s="575"/>
      <c r="IL110" s="575"/>
      <c r="IM110" s="575"/>
      <c r="IN110" s="575"/>
      <c r="IO110" s="575"/>
      <c r="IP110" s="575"/>
      <c r="IQ110" s="575"/>
      <c r="IR110" s="575"/>
      <c r="IS110" s="575"/>
      <c r="IT110" s="575"/>
      <c r="IU110" s="575"/>
      <c r="IV110" s="575"/>
    </row>
    <row r="111" spans="1:256" s="578" customFormat="1">
      <c r="A111" s="955"/>
      <c r="B111" s="982"/>
      <c r="C111" s="1032"/>
      <c r="D111" s="954"/>
      <c r="E111" s="1028"/>
      <c r="F111" s="955"/>
      <c r="G111" s="576">
        <v>0</v>
      </c>
      <c r="H111" s="576">
        <v>0</v>
      </c>
      <c r="I111" s="548" t="s">
        <v>14</v>
      </c>
      <c r="J111" s="577">
        <f t="shared" ref="J111" si="228">K111+N111</f>
        <v>-50061</v>
      </c>
      <c r="K111" s="577">
        <f t="shared" ref="K111" si="229">L111+M111</f>
        <v>-42553</v>
      </c>
      <c r="L111" s="551">
        <v>-42553</v>
      </c>
      <c r="M111" s="551">
        <v>0</v>
      </c>
      <c r="N111" s="577">
        <f t="shared" ref="N111" si="230">O111+R111+U111</f>
        <v>-7508</v>
      </c>
      <c r="O111" s="577">
        <f t="shared" ref="O111" si="231">P111+Q111</f>
        <v>0</v>
      </c>
      <c r="P111" s="551">
        <v>0</v>
      </c>
      <c r="Q111" s="551">
        <v>0</v>
      </c>
      <c r="R111" s="577">
        <f t="shared" ref="R111" si="232">S111+T111</f>
        <v>-7508</v>
      </c>
      <c r="S111" s="551">
        <v>-7508</v>
      </c>
      <c r="T111" s="551">
        <v>0</v>
      </c>
      <c r="U111" s="577">
        <f t="shared" ref="U111" si="233">V111+W111</f>
        <v>0</v>
      </c>
      <c r="V111" s="551">
        <v>0</v>
      </c>
      <c r="W111" s="551">
        <v>0</v>
      </c>
      <c r="X111" s="575"/>
      <c r="Y111" s="575"/>
      <c r="Z111" s="575"/>
      <c r="AA111" s="575"/>
      <c r="AB111" s="575"/>
      <c r="AC111" s="575"/>
      <c r="AD111" s="575"/>
      <c r="AE111" s="575"/>
      <c r="AF111" s="575"/>
      <c r="AG111" s="575"/>
      <c r="AH111" s="575"/>
      <c r="AI111" s="575"/>
      <c r="AJ111" s="575"/>
      <c r="AK111" s="575"/>
      <c r="AL111" s="575"/>
      <c r="AM111" s="575"/>
      <c r="AN111" s="575"/>
      <c r="AO111" s="575"/>
      <c r="AP111" s="575"/>
      <c r="AQ111" s="575"/>
      <c r="AR111" s="575"/>
      <c r="AS111" s="575"/>
      <c r="AT111" s="575"/>
      <c r="AU111" s="575"/>
      <c r="AV111" s="575"/>
      <c r="AW111" s="575"/>
      <c r="AX111" s="575"/>
      <c r="AY111" s="575"/>
      <c r="AZ111" s="575"/>
      <c r="BA111" s="575"/>
      <c r="BB111" s="575"/>
      <c r="BC111" s="575"/>
      <c r="BD111" s="575"/>
      <c r="BE111" s="575"/>
      <c r="BF111" s="575"/>
      <c r="BG111" s="575"/>
      <c r="BH111" s="575"/>
      <c r="BI111" s="575"/>
      <c r="BJ111" s="575"/>
      <c r="BK111" s="575"/>
      <c r="BL111" s="575"/>
      <c r="BM111" s="575"/>
      <c r="BN111" s="575"/>
      <c r="BO111" s="575"/>
      <c r="BP111" s="575"/>
      <c r="BQ111" s="575"/>
      <c r="BR111" s="575"/>
      <c r="BS111" s="575"/>
      <c r="BT111" s="575"/>
      <c r="BU111" s="575"/>
      <c r="BV111" s="575"/>
      <c r="BW111" s="575"/>
      <c r="BX111" s="575"/>
      <c r="BY111" s="575"/>
      <c r="BZ111" s="575"/>
      <c r="CA111" s="575"/>
      <c r="CB111" s="575"/>
      <c r="CC111" s="575"/>
      <c r="CD111" s="575"/>
      <c r="CE111" s="575"/>
      <c r="CF111" s="575"/>
      <c r="CG111" s="575"/>
      <c r="CH111" s="575"/>
      <c r="CI111" s="575"/>
      <c r="CJ111" s="575"/>
      <c r="CK111" s="575"/>
      <c r="CL111" s="575"/>
      <c r="CM111" s="575"/>
      <c r="CN111" s="575"/>
      <c r="CO111" s="575"/>
      <c r="CP111" s="575"/>
      <c r="CQ111" s="575"/>
      <c r="CR111" s="575"/>
      <c r="CS111" s="575"/>
      <c r="CT111" s="575"/>
      <c r="CU111" s="575"/>
      <c r="CV111" s="575"/>
      <c r="CW111" s="575"/>
      <c r="CX111" s="575"/>
      <c r="CY111" s="575"/>
      <c r="CZ111" s="575"/>
      <c r="DA111" s="575"/>
      <c r="DB111" s="575"/>
      <c r="DC111" s="575"/>
      <c r="DD111" s="575"/>
      <c r="DE111" s="575"/>
      <c r="DF111" s="575"/>
      <c r="DG111" s="575"/>
      <c r="DH111" s="575"/>
      <c r="DI111" s="575"/>
      <c r="DJ111" s="575"/>
      <c r="DK111" s="575"/>
      <c r="DL111" s="575"/>
      <c r="DM111" s="575"/>
      <c r="DN111" s="575"/>
      <c r="DO111" s="575"/>
      <c r="DP111" s="575"/>
      <c r="DQ111" s="575"/>
      <c r="DR111" s="575"/>
      <c r="DS111" s="575"/>
      <c r="DT111" s="575"/>
      <c r="DU111" s="575"/>
      <c r="DV111" s="575"/>
      <c r="DW111" s="575"/>
      <c r="DX111" s="575"/>
      <c r="DY111" s="575"/>
      <c r="DZ111" s="575"/>
      <c r="EA111" s="575"/>
      <c r="EB111" s="575"/>
      <c r="EC111" s="575"/>
      <c r="ED111" s="575"/>
      <c r="EE111" s="575"/>
      <c r="EF111" s="575"/>
      <c r="EG111" s="575"/>
      <c r="EH111" s="575"/>
      <c r="EI111" s="575"/>
      <c r="EJ111" s="575"/>
      <c r="EK111" s="575"/>
      <c r="EL111" s="575"/>
      <c r="EM111" s="575"/>
      <c r="EN111" s="575"/>
      <c r="EO111" s="575"/>
      <c r="EP111" s="575"/>
      <c r="EQ111" s="575"/>
      <c r="ER111" s="575"/>
      <c r="ES111" s="575"/>
      <c r="ET111" s="575"/>
      <c r="EU111" s="575"/>
      <c r="EV111" s="575"/>
      <c r="EW111" s="575"/>
      <c r="EX111" s="575"/>
      <c r="EY111" s="575"/>
      <c r="EZ111" s="575"/>
      <c r="FA111" s="575"/>
      <c r="FB111" s="575"/>
      <c r="FC111" s="575"/>
      <c r="FD111" s="575"/>
      <c r="FE111" s="575"/>
      <c r="FF111" s="575"/>
      <c r="FG111" s="575"/>
      <c r="FH111" s="575"/>
      <c r="FI111" s="575"/>
      <c r="FJ111" s="575"/>
      <c r="FK111" s="575"/>
      <c r="FL111" s="575"/>
      <c r="FM111" s="575"/>
      <c r="FN111" s="575"/>
      <c r="FO111" s="575"/>
      <c r="FP111" s="575"/>
      <c r="FQ111" s="575"/>
      <c r="FR111" s="575"/>
      <c r="FS111" s="575"/>
      <c r="FT111" s="575"/>
      <c r="FU111" s="575"/>
      <c r="FV111" s="575"/>
      <c r="FW111" s="575"/>
      <c r="FX111" s="575"/>
      <c r="FY111" s="575"/>
      <c r="FZ111" s="575"/>
      <c r="GA111" s="575"/>
      <c r="GB111" s="575"/>
      <c r="GC111" s="575"/>
      <c r="GD111" s="575"/>
      <c r="GE111" s="575"/>
      <c r="GF111" s="575"/>
      <c r="GG111" s="575"/>
      <c r="GH111" s="575"/>
      <c r="GI111" s="575"/>
      <c r="GJ111" s="575"/>
      <c r="GK111" s="575"/>
      <c r="GL111" s="575"/>
      <c r="GM111" s="575"/>
      <c r="GN111" s="575"/>
      <c r="GO111" s="575"/>
      <c r="GP111" s="575"/>
      <c r="GQ111" s="575"/>
      <c r="GR111" s="575"/>
      <c r="GS111" s="575"/>
      <c r="GT111" s="575"/>
      <c r="GU111" s="575"/>
      <c r="GV111" s="575"/>
      <c r="GW111" s="575"/>
      <c r="GX111" s="575"/>
      <c r="GY111" s="575"/>
      <c r="GZ111" s="575"/>
      <c r="HA111" s="575"/>
      <c r="HB111" s="575"/>
      <c r="HC111" s="575"/>
      <c r="HD111" s="575"/>
      <c r="HE111" s="575"/>
      <c r="HF111" s="575"/>
      <c r="HG111" s="575"/>
      <c r="HH111" s="575"/>
      <c r="HI111" s="575"/>
      <c r="HJ111" s="575"/>
      <c r="HK111" s="575"/>
      <c r="HL111" s="575"/>
      <c r="HM111" s="575"/>
      <c r="HN111" s="575"/>
      <c r="HO111" s="575"/>
      <c r="HP111" s="575"/>
      <c r="HQ111" s="575"/>
      <c r="HR111" s="575"/>
      <c r="HS111" s="575"/>
      <c r="HT111" s="575"/>
      <c r="HU111" s="575"/>
      <c r="HV111" s="575"/>
      <c r="HW111" s="575"/>
      <c r="HX111" s="575"/>
      <c r="HY111" s="575"/>
      <c r="HZ111" s="575"/>
      <c r="IA111" s="575"/>
      <c r="IB111" s="575"/>
      <c r="IC111" s="575"/>
      <c r="ID111" s="575"/>
      <c r="IE111" s="575"/>
      <c r="IF111" s="575"/>
      <c r="IG111" s="575"/>
      <c r="IH111" s="575"/>
      <c r="II111" s="575"/>
      <c r="IJ111" s="575"/>
      <c r="IK111" s="575"/>
      <c r="IL111" s="575"/>
      <c r="IM111" s="575"/>
      <c r="IN111" s="575"/>
      <c r="IO111" s="575"/>
      <c r="IP111" s="575"/>
      <c r="IQ111" s="575"/>
      <c r="IR111" s="575"/>
      <c r="IS111" s="575"/>
      <c r="IT111" s="575"/>
      <c r="IU111" s="575"/>
      <c r="IV111" s="575"/>
    </row>
    <row r="112" spans="1:256">
      <c r="A112" s="955"/>
      <c r="B112" s="982"/>
      <c r="C112" s="1032"/>
      <c r="D112" s="954"/>
      <c r="E112" s="1028"/>
      <c r="F112" s="955"/>
      <c r="G112" s="576">
        <v>82089</v>
      </c>
      <c r="H112" s="576">
        <v>52337</v>
      </c>
      <c r="I112" s="958" t="s">
        <v>15</v>
      </c>
      <c r="J112" s="1024">
        <f t="shared" ref="J112:W112" si="234">J109+J111</f>
        <v>198348</v>
      </c>
      <c r="K112" s="1024">
        <f t="shared" si="234"/>
        <v>168596</v>
      </c>
      <c r="L112" s="951">
        <f t="shared" si="234"/>
        <v>168596</v>
      </c>
      <c r="M112" s="951">
        <f t="shared" si="234"/>
        <v>0</v>
      </c>
      <c r="N112" s="1024">
        <f t="shared" si="234"/>
        <v>29752</v>
      </c>
      <c r="O112" s="1024">
        <f t="shared" si="234"/>
        <v>0</v>
      </c>
      <c r="P112" s="951">
        <f t="shared" si="234"/>
        <v>0</v>
      </c>
      <c r="Q112" s="951">
        <f t="shared" si="234"/>
        <v>0</v>
      </c>
      <c r="R112" s="1024">
        <f t="shared" si="234"/>
        <v>29752</v>
      </c>
      <c r="S112" s="951">
        <f t="shared" si="234"/>
        <v>29752</v>
      </c>
      <c r="T112" s="951">
        <f t="shared" si="234"/>
        <v>0</v>
      </c>
      <c r="U112" s="1024">
        <f t="shared" si="234"/>
        <v>0</v>
      </c>
      <c r="V112" s="951">
        <f t="shared" si="234"/>
        <v>0</v>
      </c>
      <c r="W112" s="951">
        <f t="shared" si="234"/>
        <v>0</v>
      </c>
      <c r="X112" s="575"/>
      <c r="Y112" s="575"/>
      <c r="Z112" s="575"/>
      <c r="AA112" s="575"/>
      <c r="AB112" s="575"/>
      <c r="AC112" s="575"/>
      <c r="AD112" s="575"/>
      <c r="AE112" s="575"/>
      <c r="AF112" s="575"/>
      <c r="AG112" s="575"/>
      <c r="AH112" s="575"/>
      <c r="AI112" s="575"/>
      <c r="AJ112" s="575"/>
      <c r="AK112" s="575"/>
      <c r="AL112" s="575"/>
      <c r="AM112" s="575"/>
      <c r="AN112" s="575"/>
      <c r="AO112" s="575"/>
      <c r="AP112" s="575"/>
      <c r="AQ112" s="575"/>
      <c r="AR112" s="575"/>
      <c r="AS112" s="575"/>
      <c r="AT112" s="575"/>
      <c r="AU112" s="575"/>
      <c r="AV112" s="575"/>
      <c r="AW112" s="575"/>
      <c r="AX112" s="575"/>
      <c r="AY112" s="575"/>
      <c r="AZ112" s="575"/>
      <c r="BA112" s="575"/>
      <c r="BB112" s="575"/>
      <c r="BC112" s="575"/>
      <c r="BD112" s="575"/>
      <c r="BE112" s="575"/>
      <c r="BF112" s="575"/>
      <c r="BG112" s="575"/>
      <c r="BH112" s="575"/>
      <c r="BI112" s="575"/>
      <c r="BJ112" s="575"/>
      <c r="BK112" s="575"/>
      <c r="BL112" s="575"/>
      <c r="BM112" s="575"/>
      <c r="BN112" s="575"/>
      <c r="BO112" s="575"/>
      <c r="BP112" s="575"/>
      <c r="BQ112" s="575"/>
      <c r="BR112" s="575"/>
      <c r="BS112" s="575"/>
      <c r="BT112" s="575"/>
      <c r="BU112" s="575"/>
      <c r="BV112" s="575"/>
      <c r="BW112" s="575"/>
      <c r="BX112" s="575"/>
      <c r="BY112" s="575"/>
      <c r="BZ112" s="575"/>
      <c r="CA112" s="575"/>
      <c r="CB112" s="575"/>
      <c r="CC112" s="575"/>
      <c r="CD112" s="575"/>
      <c r="CE112" s="575"/>
      <c r="CF112" s="575"/>
      <c r="CG112" s="575"/>
      <c r="CH112" s="575"/>
      <c r="CI112" s="575"/>
      <c r="CJ112" s="575"/>
      <c r="CK112" s="575"/>
      <c r="CL112" s="575"/>
      <c r="CM112" s="575"/>
      <c r="CN112" s="575"/>
      <c r="CO112" s="575"/>
      <c r="CP112" s="575"/>
      <c r="CQ112" s="575"/>
      <c r="CR112" s="575"/>
      <c r="CS112" s="575"/>
      <c r="CT112" s="575"/>
      <c r="CU112" s="575"/>
      <c r="CV112" s="575"/>
      <c r="CW112" s="575"/>
      <c r="CX112" s="575"/>
      <c r="CY112" s="575"/>
      <c r="CZ112" s="575"/>
      <c r="DA112" s="575"/>
      <c r="DB112" s="575"/>
      <c r="DC112" s="575"/>
      <c r="DD112" s="575"/>
      <c r="DE112" s="575"/>
      <c r="DF112" s="575"/>
      <c r="DG112" s="575"/>
      <c r="DH112" s="575"/>
      <c r="DI112" s="575"/>
      <c r="DJ112" s="575"/>
      <c r="DK112" s="575"/>
      <c r="DL112" s="575"/>
      <c r="DM112" s="575"/>
      <c r="DN112" s="575"/>
      <c r="DO112" s="575"/>
      <c r="DP112" s="575"/>
      <c r="DQ112" s="575"/>
      <c r="DR112" s="575"/>
      <c r="DS112" s="575"/>
      <c r="DT112" s="575"/>
      <c r="DU112" s="575"/>
      <c r="DV112" s="575"/>
      <c r="DW112" s="575"/>
      <c r="DX112" s="575"/>
      <c r="DY112" s="575"/>
      <c r="DZ112" s="575"/>
      <c r="EA112" s="575"/>
      <c r="EB112" s="575"/>
      <c r="EC112" s="575"/>
      <c r="ED112" s="575"/>
      <c r="EE112" s="575"/>
      <c r="EF112" s="575"/>
      <c r="EG112" s="575"/>
      <c r="EH112" s="575"/>
      <c r="EI112" s="575"/>
      <c r="EJ112" s="575"/>
      <c r="EK112" s="575"/>
      <c r="EL112" s="575"/>
      <c r="EM112" s="575"/>
      <c r="EN112" s="575"/>
      <c r="EO112" s="575"/>
      <c r="EP112" s="575"/>
      <c r="EQ112" s="575"/>
      <c r="ER112" s="575"/>
      <c r="ES112" s="575"/>
      <c r="ET112" s="575"/>
      <c r="EU112" s="575"/>
      <c r="EV112" s="575"/>
      <c r="EW112" s="575"/>
      <c r="EX112" s="575"/>
      <c r="EY112" s="575"/>
      <c r="EZ112" s="575"/>
      <c r="FA112" s="575"/>
      <c r="FB112" s="575"/>
      <c r="FC112" s="575"/>
      <c r="FD112" s="575"/>
      <c r="FE112" s="575"/>
      <c r="FF112" s="575"/>
      <c r="FG112" s="575"/>
      <c r="FH112" s="575"/>
      <c r="FI112" s="575"/>
      <c r="FJ112" s="575"/>
      <c r="FK112" s="575"/>
      <c r="FL112" s="575"/>
      <c r="FM112" s="575"/>
      <c r="FN112" s="575"/>
      <c r="FO112" s="575"/>
      <c r="FP112" s="575"/>
      <c r="FQ112" s="575"/>
      <c r="FR112" s="575"/>
      <c r="FS112" s="575"/>
      <c r="FT112" s="575"/>
      <c r="FU112" s="575"/>
      <c r="FV112" s="575"/>
      <c r="FW112" s="575"/>
      <c r="FX112" s="575"/>
      <c r="FY112" s="575"/>
      <c r="FZ112" s="575"/>
      <c r="GA112" s="575"/>
      <c r="GB112" s="575"/>
      <c r="GC112" s="575"/>
      <c r="GD112" s="575"/>
      <c r="GE112" s="575"/>
      <c r="GF112" s="575"/>
      <c r="GG112" s="575"/>
      <c r="GH112" s="575"/>
      <c r="GI112" s="575"/>
      <c r="GJ112" s="575"/>
      <c r="GK112" s="575"/>
      <c r="GL112" s="575"/>
      <c r="GM112" s="575"/>
      <c r="GN112" s="575"/>
      <c r="GO112" s="575"/>
      <c r="GP112" s="575"/>
      <c r="GQ112" s="575"/>
      <c r="GR112" s="575"/>
      <c r="GS112" s="575"/>
      <c r="GT112" s="575"/>
      <c r="GU112" s="575"/>
      <c r="GV112" s="575"/>
      <c r="GW112" s="575"/>
      <c r="GX112" s="575"/>
      <c r="GY112" s="575"/>
      <c r="GZ112" s="575"/>
      <c r="HA112" s="575"/>
      <c r="HB112" s="575"/>
      <c r="HC112" s="575"/>
      <c r="HD112" s="575"/>
      <c r="HE112" s="575"/>
      <c r="HF112" s="575"/>
      <c r="HG112" s="575"/>
      <c r="HH112" s="575"/>
      <c r="HI112" s="575"/>
      <c r="HJ112" s="575"/>
      <c r="HK112" s="575"/>
      <c r="HL112" s="575"/>
      <c r="HM112" s="575"/>
      <c r="HN112" s="575"/>
      <c r="HO112" s="575"/>
      <c r="HP112" s="575"/>
      <c r="HQ112" s="575"/>
      <c r="HR112" s="575"/>
      <c r="HS112" s="575"/>
      <c r="HT112" s="575"/>
      <c r="HU112" s="575"/>
      <c r="HV112" s="575"/>
      <c r="HW112" s="575"/>
      <c r="HX112" s="575"/>
      <c r="HY112" s="575"/>
      <c r="HZ112" s="575"/>
      <c r="IA112" s="575"/>
      <c r="IB112" s="575"/>
      <c r="IC112" s="575"/>
      <c r="ID112" s="575"/>
      <c r="IE112" s="575"/>
      <c r="IF112" s="575"/>
      <c r="IG112" s="575"/>
      <c r="IH112" s="575"/>
      <c r="II112" s="575"/>
      <c r="IJ112" s="575"/>
      <c r="IK112" s="575"/>
      <c r="IL112" s="575"/>
      <c r="IM112" s="575"/>
      <c r="IN112" s="575"/>
      <c r="IO112" s="575"/>
      <c r="IP112" s="575"/>
      <c r="IQ112" s="575"/>
      <c r="IR112" s="575"/>
      <c r="IS112" s="575"/>
      <c r="IT112" s="575"/>
      <c r="IU112" s="575"/>
      <c r="IV112" s="575"/>
    </row>
    <row r="113" spans="1:256">
      <c r="A113" s="955"/>
      <c r="B113" s="983"/>
      <c r="C113" s="1033"/>
      <c r="D113" s="954"/>
      <c r="E113" s="1028"/>
      <c r="F113" s="955"/>
      <c r="G113" s="576">
        <v>0</v>
      </c>
      <c r="H113" s="576">
        <v>0</v>
      </c>
      <c r="I113" s="959"/>
      <c r="J113" s="1024"/>
      <c r="K113" s="1024"/>
      <c r="L113" s="951"/>
      <c r="M113" s="951"/>
      <c r="N113" s="1024"/>
      <c r="O113" s="1024"/>
      <c r="P113" s="951"/>
      <c r="Q113" s="951"/>
      <c r="R113" s="1024"/>
      <c r="S113" s="951"/>
      <c r="T113" s="951"/>
      <c r="U113" s="1024"/>
      <c r="V113" s="951"/>
      <c r="W113" s="951"/>
      <c r="X113" s="575"/>
      <c r="Y113" s="575"/>
      <c r="Z113" s="575"/>
      <c r="AA113" s="575"/>
      <c r="AB113" s="575"/>
      <c r="AC113" s="575"/>
      <c r="AD113" s="575"/>
      <c r="AE113" s="575"/>
      <c r="AF113" s="575"/>
      <c r="AG113" s="575"/>
      <c r="AH113" s="575"/>
      <c r="AI113" s="575"/>
      <c r="AJ113" s="575"/>
      <c r="AK113" s="575"/>
      <c r="AL113" s="575"/>
      <c r="AM113" s="575"/>
      <c r="AN113" s="575"/>
      <c r="AO113" s="575"/>
      <c r="AP113" s="575"/>
      <c r="AQ113" s="575"/>
      <c r="AR113" s="575"/>
      <c r="AS113" s="575"/>
      <c r="AT113" s="575"/>
      <c r="AU113" s="575"/>
      <c r="AV113" s="575"/>
      <c r="AW113" s="575"/>
      <c r="AX113" s="575"/>
      <c r="AY113" s="575"/>
      <c r="AZ113" s="575"/>
      <c r="BA113" s="575"/>
      <c r="BB113" s="575"/>
      <c r="BC113" s="575"/>
      <c r="BD113" s="575"/>
      <c r="BE113" s="575"/>
      <c r="BF113" s="575"/>
      <c r="BG113" s="575"/>
      <c r="BH113" s="575"/>
      <c r="BI113" s="575"/>
      <c r="BJ113" s="575"/>
      <c r="BK113" s="575"/>
      <c r="BL113" s="575"/>
      <c r="BM113" s="575"/>
      <c r="BN113" s="575"/>
      <c r="BO113" s="575"/>
      <c r="BP113" s="575"/>
      <c r="BQ113" s="575"/>
      <c r="BR113" s="575"/>
      <c r="BS113" s="575"/>
      <c r="BT113" s="575"/>
      <c r="BU113" s="575"/>
      <c r="BV113" s="575"/>
      <c r="BW113" s="575"/>
      <c r="BX113" s="575"/>
      <c r="BY113" s="575"/>
      <c r="BZ113" s="575"/>
      <c r="CA113" s="575"/>
      <c r="CB113" s="575"/>
      <c r="CC113" s="575"/>
      <c r="CD113" s="575"/>
      <c r="CE113" s="575"/>
      <c r="CF113" s="575"/>
      <c r="CG113" s="575"/>
      <c r="CH113" s="575"/>
      <c r="CI113" s="575"/>
      <c r="CJ113" s="575"/>
      <c r="CK113" s="575"/>
      <c r="CL113" s="575"/>
      <c r="CM113" s="575"/>
      <c r="CN113" s="575"/>
      <c r="CO113" s="575"/>
      <c r="CP113" s="575"/>
      <c r="CQ113" s="575"/>
      <c r="CR113" s="575"/>
      <c r="CS113" s="575"/>
      <c r="CT113" s="575"/>
      <c r="CU113" s="575"/>
      <c r="CV113" s="575"/>
      <c r="CW113" s="575"/>
      <c r="CX113" s="575"/>
      <c r="CY113" s="575"/>
      <c r="CZ113" s="575"/>
      <c r="DA113" s="575"/>
      <c r="DB113" s="575"/>
      <c r="DC113" s="575"/>
      <c r="DD113" s="575"/>
      <c r="DE113" s="575"/>
      <c r="DF113" s="575"/>
      <c r="DG113" s="575"/>
      <c r="DH113" s="575"/>
      <c r="DI113" s="575"/>
      <c r="DJ113" s="575"/>
      <c r="DK113" s="575"/>
      <c r="DL113" s="575"/>
      <c r="DM113" s="575"/>
      <c r="DN113" s="575"/>
      <c r="DO113" s="575"/>
      <c r="DP113" s="575"/>
      <c r="DQ113" s="575"/>
      <c r="DR113" s="575"/>
      <c r="DS113" s="575"/>
      <c r="DT113" s="575"/>
      <c r="DU113" s="575"/>
      <c r="DV113" s="575"/>
      <c r="DW113" s="575"/>
      <c r="DX113" s="575"/>
      <c r="DY113" s="575"/>
      <c r="DZ113" s="575"/>
      <c r="EA113" s="575"/>
      <c r="EB113" s="575"/>
      <c r="EC113" s="575"/>
      <c r="ED113" s="575"/>
      <c r="EE113" s="575"/>
      <c r="EF113" s="575"/>
      <c r="EG113" s="575"/>
      <c r="EH113" s="575"/>
      <c r="EI113" s="575"/>
      <c r="EJ113" s="575"/>
      <c r="EK113" s="575"/>
      <c r="EL113" s="575"/>
      <c r="EM113" s="575"/>
      <c r="EN113" s="575"/>
      <c r="EO113" s="575"/>
      <c r="EP113" s="575"/>
      <c r="EQ113" s="575"/>
      <c r="ER113" s="575"/>
      <c r="ES113" s="575"/>
      <c r="ET113" s="575"/>
      <c r="EU113" s="575"/>
      <c r="EV113" s="575"/>
      <c r="EW113" s="575"/>
      <c r="EX113" s="575"/>
      <c r="EY113" s="575"/>
      <c r="EZ113" s="575"/>
      <c r="FA113" s="575"/>
      <c r="FB113" s="575"/>
      <c r="FC113" s="575"/>
      <c r="FD113" s="575"/>
      <c r="FE113" s="575"/>
      <c r="FF113" s="575"/>
      <c r="FG113" s="575"/>
      <c r="FH113" s="575"/>
      <c r="FI113" s="575"/>
      <c r="FJ113" s="575"/>
      <c r="FK113" s="575"/>
      <c r="FL113" s="575"/>
      <c r="FM113" s="575"/>
      <c r="FN113" s="575"/>
      <c r="FO113" s="575"/>
      <c r="FP113" s="575"/>
      <c r="FQ113" s="575"/>
      <c r="FR113" s="575"/>
      <c r="FS113" s="575"/>
      <c r="FT113" s="575"/>
      <c r="FU113" s="575"/>
      <c r="FV113" s="575"/>
      <c r="FW113" s="575"/>
      <c r="FX113" s="575"/>
      <c r="FY113" s="575"/>
      <c r="FZ113" s="575"/>
      <c r="GA113" s="575"/>
      <c r="GB113" s="575"/>
      <c r="GC113" s="575"/>
      <c r="GD113" s="575"/>
      <c r="GE113" s="575"/>
      <c r="GF113" s="575"/>
      <c r="GG113" s="575"/>
      <c r="GH113" s="575"/>
      <c r="GI113" s="575"/>
      <c r="GJ113" s="575"/>
      <c r="GK113" s="575"/>
      <c r="GL113" s="575"/>
      <c r="GM113" s="575"/>
      <c r="GN113" s="575"/>
      <c r="GO113" s="575"/>
      <c r="GP113" s="575"/>
      <c r="GQ113" s="575"/>
      <c r="GR113" s="575"/>
      <c r="GS113" s="575"/>
      <c r="GT113" s="575"/>
      <c r="GU113" s="575"/>
      <c r="GV113" s="575"/>
      <c r="GW113" s="575"/>
      <c r="GX113" s="575"/>
      <c r="GY113" s="575"/>
      <c r="GZ113" s="575"/>
      <c r="HA113" s="575"/>
      <c r="HB113" s="575"/>
      <c r="HC113" s="575"/>
      <c r="HD113" s="575"/>
      <c r="HE113" s="575"/>
      <c r="HF113" s="575"/>
      <c r="HG113" s="575"/>
      <c r="HH113" s="575"/>
      <c r="HI113" s="575"/>
      <c r="HJ113" s="575"/>
      <c r="HK113" s="575"/>
      <c r="HL113" s="575"/>
      <c r="HM113" s="575"/>
      <c r="HN113" s="575"/>
      <c r="HO113" s="575"/>
      <c r="HP113" s="575"/>
      <c r="HQ113" s="575"/>
      <c r="HR113" s="575"/>
      <c r="HS113" s="575"/>
      <c r="HT113" s="575"/>
      <c r="HU113" s="575"/>
      <c r="HV113" s="575"/>
      <c r="HW113" s="575"/>
      <c r="HX113" s="575"/>
      <c r="HY113" s="575"/>
      <c r="HZ113" s="575"/>
      <c r="IA113" s="575"/>
      <c r="IB113" s="575"/>
      <c r="IC113" s="575"/>
      <c r="ID113" s="575"/>
      <c r="IE113" s="575"/>
      <c r="IF113" s="575"/>
      <c r="IG113" s="575"/>
      <c r="IH113" s="575"/>
      <c r="II113" s="575"/>
      <c r="IJ113" s="575"/>
      <c r="IK113" s="575"/>
      <c r="IL113" s="575"/>
      <c r="IM113" s="575"/>
      <c r="IN113" s="575"/>
      <c r="IO113" s="575"/>
      <c r="IP113" s="575"/>
      <c r="IQ113" s="575"/>
      <c r="IR113" s="575"/>
      <c r="IS113" s="575"/>
      <c r="IT113" s="575"/>
      <c r="IU113" s="575"/>
      <c r="IV113" s="575"/>
    </row>
    <row r="114" spans="1:256">
      <c r="A114" s="1034" t="s">
        <v>919</v>
      </c>
      <c r="B114" s="1035"/>
      <c r="C114" s="1035"/>
      <c r="D114" s="1035"/>
      <c r="E114" s="1035"/>
      <c r="F114" s="1036"/>
      <c r="G114" s="580">
        <f>G19+G24+G29+G34+G39+G44+G49+G54+G59+G64+G69+G74+G79+G84+G89+G94+G99+G104+G109</f>
        <v>150767139</v>
      </c>
      <c r="H114" s="580">
        <f>H19+H24+H29+H34+H39+H44+H49+H54+H59+H64+H69+H74+H79+H84+H89+H94+H99+H104+H109</f>
        <v>89255221</v>
      </c>
      <c r="I114" s="1001" t="s">
        <v>13</v>
      </c>
      <c r="J114" s="1043">
        <f>J19+J24+J29+J34+J39+J44+J49+J54+J59+J64+J69+J74+J79+J84+J89+J94+J99+J104+J109</f>
        <v>49886843</v>
      </c>
      <c r="K114" s="1043">
        <f t="shared" ref="K114:W114" si="235">K19+K24+K29+K34+K39+K44+K49+K54+K59+K64+K69+K74+K79+K84+K89+K94+K99+K104+K109</f>
        <v>29781213</v>
      </c>
      <c r="L114" s="1043">
        <f t="shared" si="235"/>
        <v>20821034</v>
      </c>
      <c r="M114" s="1043">
        <f t="shared" si="235"/>
        <v>8960179</v>
      </c>
      <c r="N114" s="1043">
        <f t="shared" si="235"/>
        <v>20105630</v>
      </c>
      <c r="O114" s="1043">
        <f t="shared" si="235"/>
        <v>8318393</v>
      </c>
      <c r="P114" s="1043">
        <f t="shared" si="235"/>
        <v>8318393</v>
      </c>
      <c r="Q114" s="1043">
        <f t="shared" si="235"/>
        <v>0</v>
      </c>
      <c r="R114" s="1043">
        <f t="shared" si="235"/>
        <v>11787237</v>
      </c>
      <c r="S114" s="1043">
        <f t="shared" si="235"/>
        <v>1397035</v>
      </c>
      <c r="T114" s="1043">
        <f t="shared" si="235"/>
        <v>10390202</v>
      </c>
      <c r="U114" s="1043">
        <f t="shared" si="235"/>
        <v>0</v>
      </c>
      <c r="V114" s="1043">
        <f t="shared" si="235"/>
        <v>0</v>
      </c>
      <c r="W114" s="1043">
        <f t="shared" si="235"/>
        <v>0</v>
      </c>
      <c r="X114" s="578"/>
      <c r="Y114" s="578"/>
      <c r="Z114" s="578"/>
      <c r="AA114" s="578"/>
      <c r="AB114" s="578"/>
      <c r="AC114" s="578"/>
      <c r="AD114" s="578"/>
      <c r="AE114" s="578"/>
      <c r="AF114" s="578"/>
      <c r="AG114" s="578"/>
      <c r="AH114" s="578"/>
      <c r="AI114" s="578"/>
      <c r="AJ114" s="578"/>
      <c r="AK114" s="578"/>
      <c r="AL114" s="578"/>
      <c r="AM114" s="578"/>
      <c r="AN114" s="578"/>
      <c r="AO114" s="578"/>
      <c r="AP114" s="578"/>
      <c r="AQ114" s="578"/>
      <c r="AR114" s="578"/>
      <c r="AS114" s="578"/>
      <c r="AT114" s="578"/>
      <c r="AU114" s="578"/>
      <c r="AV114" s="578"/>
      <c r="AW114" s="578"/>
      <c r="AX114" s="578"/>
      <c r="AY114" s="578"/>
      <c r="AZ114" s="578"/>
      <c r="BA114" s="578"/>
      <c r="BB114" s="578"/>
      <c r="BC114" s="578"/>
      <c r="BD114" s="578"/>
      <c r="BE114" s="578"/>
      <c r="BF114" s="578"/>
      <c r="BG114" s="578"/>
      <c r="BH114" s="578"/>
      <c r="BI114" s="578"/>
      <c r="BJ114" s="578"/>
      <c r="BK114" s="578"/>
      <c r="BL114" s="578"/>
      <c r="BM114" s="578"/>
      <c r="BN114" s="578"/>
      <c r="BO114" s="578"/>
      <c r="BP114" s="578"/>
      <c r="BQ114" s="578"/>
      <c r="BR114" s="578"/>
      <c r="BS114" s="578"/>
      <c r="BT114" s="578"/>
      <c r="BU114" s="578"/>
      <c r="BV114" s="578"/>
      <c r="BW114" s="578"/>
      <c r="BX114" s="578"/>
      <c r="BY114" s="578"/>
      <c r="BZ114" s="578"/>
      <c r="CA114" s="578"/>
      <c r="CB114" s="578"/>
      <c r="CC114" s="578"/>
      <c r="CD114" s="578"/>
      <c r="CE114" s="578"/>
      <c r="CF114" s="578"/>
      <c r="CG114" s="578"/>
      <c r="CH114" s="578"/>
      <c r="CI114" s="578"/>
      <c r="CJ114" s="578"/>
      <c r="CK114" s="578"/>
      <c r="CL114" s="578"/>
      <c r="CM114" s="578"/>
      <c r="CN114" s="578"/>
      <c r="CO114" s="578"/>
      <c r="CP114" s="578"/>
      <c r="CQ114" s="578"/>
      <c r="CR114" s="578"/>
      <c r="CS114" s="578"/>
      <c r="CT114" s="578"/>
      <c r="CU114" s="578"/>
      <c r="CV114" s="578"/>
      <c r="CW114" s="578"/>
      <c r="CX114" s="578"/>
      <c r="CY114" s="578"/>
      <c r="CZ114" s="578"/>
      <c r="DA114" s="578"/>
      <c r="DB114" s="578"/>
      <c r="DC114" s="578"/>
      <c r="DD114" s="578"/>
      <c r="DE114" s="578"/>
      <c r="DF114" s="578"/>
      <c r="DG114" s="578"/>
      <c r="DH114" s="578"/>
      <c r="DI114" s="578"/>
      <c r="DJ114" s="578"/>
      <c r="DK114" s="578"/>
      <c r="DL114" s="578"/>
      <c r="DM114" s="578"/>
      <c r="DN114" s="578"/>
      <c r="DO114" s="578"/>
      <c r="DP114" s="578"/>
      <c r="DQ114" s="578"/>
      <c r="DR114" s="578"/>
      <c r="DS114" s="578"/>
      <c r="DT114" s="578"/>
      <c r="DU114" s="578"/>
      <c r="DV114" s="578"/>
      <c r="DW114" s="578"/>
      <c r="DX114" s="578"/>
      <c r="DY114" s="578"/>
      <c r="DZ114" s="578"/>
      <c r="EA114" s="578"/>
      <c r="EB114" s="578"/>
      <c r="EC114" s="578"/>
      <c r="ED114" s="578"/>
      <c r="EE114" s="578"/>
      <c r="EF114" s="578"/>
      <c r="EG114" s="578"/>
      <c r="EH114" s="578"/>
      <c r="EI114" s="578"/>
      <c r="EJ114" s="578"/>
      <c r="EK114" s="578"/>
      <c r="EL114" s="578"/>
      <c r="EM114" s="578"/>
      <c r="EN114" s="578"/>
      <c r="EO114" s="578"/>
      <c r="EP114" s="578"/>
      <c r="EQ114" s="578"/>
      <c r="ER114" s="578"/>
      <c r="ES114" s="578"/>
      <c r="ET114" s="578"/>
      <c r="EU114" s="578"/>
      <c r="EV114" s="578"/>
      <c r="EW114" s="578"/>
      <c r="EX114" s="578"/>
      <c r="EY114" s="578"/>
      <c r="EZ114" s="578"/>
      <c r="FA114" s="578"/>
      <c r="FB114" s="578"/>
      <c r="FC114" s="578"/>
      <c r="FD114" s="578"/>
      <c r="FE114" s="578"/>
      <c r="FF114" s="578"/>
      <c r="FG114" s="578"/>
      <c r="FH114" s="578"/>
      <c r="FI114" s="578"/>
      <c r="FJ114" s="578"/>
      <c r="FK114" s="578"/>
      <c r="FL114" s="578"/>
      <c r="FM114" s="578"/>
      <c r="FN114" s="578"/>
      <c r="FO114" s="578"/>
      <c r="FP114" s="578"/>
      <c r="FQ114" s="578"/>
      <c r="FR114" s="578"/>
      <c r="FS114" s="578"/>
      <c r="FT114" s="578"/>
      <c r="FU114" s="578"/>
      <c r="FV114" s="578"/>
      <c r="FW114" s="578"/>
      <c r="FX114" s="578"/>
      <c r="FY114" s="578"/>
      <c r="FZ114" s="578"/>
      <c r="GA114" s="578"/>
      <c r="GB114" s="578"/>
      <c r="GC114" s="578"/>
      <c r="GD114" s="578"/>
      <c r="GE114" s="578"/>
      <c r="GF114" s="578"/>
      <c r="GG114" s="578"/>
      <c r="GH114" s="578"/>
      <c r="GI114" s="578"/>
      <c r="GJ114" s="578"/>
      <c r="GK114" s="578"/>
      <c r="GL114" s="578"/>
      <c r="GM114" s="578"/>
      <c r="GN114" s="578"/>
      <c r="GO114" s="578"/>
      <c r="GP114" s="578"/>
      <c r="GQ114" s="578"/>
      <c r="GR114" s="578"/>
      <c r="GS114" s="578"/>
      <c r="GT114" s="578"/>
      <c r="GU114" s="578"/>
      <c r="GV114" s="578"/>
      <c r="GW114" s="578"/>
      <c r="GX114" s="578"/>
      <c r="GY114" s="578"/>
      <c r="GZ114" s="578"/>
      <c r="HA114" s="578"/>
      <c r="HB114" s="578"/>
      <c r="HC114" s="578"/>
      <c r="HD114" s="578"/>
      <c r="HE114" s="578"/>
      <c r="HF114" s="578"/>
      <c r="HG114" s="578"/>
      <c r="HH114" s="578"/>
      <c r="HI114" s="578"/>
      <c r="HJ114" s="578"/>
      <c r="HK114" s="578"/>
      <c r="HL114" s="578"/>
      <c r="HM114" s="578"/>
      <c r="HN114" s="578"/>
      <c r="HO114" s="578"/>
      <c r="HP114" s="578"/>
      <c r="HQ114" s="578"/>
      <c r="HR114" s="578"/>
      <c r="HS114" s="578"/>
      <c r="HT114" s="578"/>
      <c r="HU114" s="578"/>
      <c r="HV114" s="578"/>
      <c r="HW114" s="578"/>
      <c r="HX114" s="578"/>
      <c r="HY114" s="578"/>
      <c r="HZ114" s="578"/>
      <c r="IA114" s="578"/>
      <c r="IB114" s="578"/>
      <c r="IC114" s="578"/>
      <c r="ID114" s="578"/>
      <c r="IE114" s="578"/>
      <c r="IF114" s="578"/>
      <c r="IG114" s="578"/>
      <c r="IH114" s="578"/>
      <c r="II114" s="578"/>
      <c r="IJ114" s="578"/>
      <c r="IK114" s="578"/>
      <c r="IL114" s="578"/>
      <c r="IM114" s="578"/>
      <c r="IN114" s="578"/>
      <c r="IO114" s="578"/>
      <c r="IP114" s="578"/>
      <c r="IQ114" s="578"/>
      <c r="IR114" s="578"/>
      <c r="IS114" s="578"/>
      <c r="IT114" s="578"/>
      <c r="IU114" s="578"/>
      <c r="IV114" s="578"/>
    </row>
    <row r="115" spans="1:256">
      <c r="A115" s="1037"/>
      <c r="B115" s="1038"/>
      <c r="C115" s="1038"/>
      <c r="D115" s="1038"/>
      <c r="E115" s="1038"/>
      <c r="F115" s="1039"/>
      <c r="G115" s="580">
        <f t="shared" ref="G115:H118" si="236">G20+G25+G30+G35+G40+G45+G50+G55+G60+G65+G70+G75+G80+G85+G90+G95+G100+G105+G110</f>
        <v>98065983</v>
      </c>
      <c r="H115" s="580">
        <f>H20+H25+H30+H35+H40+H45+H50+H55+H60+H65+H70+H75+H80+H85+H90+H95+H100+H105+H110</f>
        <v>61167685</v>
      </c>
      <c r="I115" s="1002"/>
      <c r="J115" s="1043"/>
      <c r="K115" s="1043"/>
      <c r="L115" s="1043"/>
      <c r="M115" s="1043"/>
      <c r="N115" s="1043"/>
      <c r="O115" s="1043"/>
      <c r="P115" s="1043"/>
      <c r="Q115" s="1043"/>
      <c r="R115" s="1043"/>
      <c r="S115" s="1043"/>
      <c r="T115" s="1043"/>
      <c r="U115" s="1043"/>
      <c r="V115" s="1043"/>
      <c r="W115" s="1043"/>
      <c r="X115" s="578"/>
      <c r="Y115" s="578"/>
      <c r="Z115" s="578"/>
      <c r="AA115" s="578"/>
      <c r="AB115" s="578"/>
      <c r="AC115" s="578"/>
      <c r="AD115" s="578"/>
      <c r="AE115" s="578"/>
      <c r="AF115" s="578"/>
      <c r="AG115" s="578"/>
      <c r="AH115" s="578"/>
      <c r="AI115" s="578"/>
      <c r="AJ115" s="578"/>
      <c r="AK115" s="578"/>
      <c r="AL115" s="578"/>
      <c r="AM115" s="578"/>
      <c r="AN115" s="578"/>
      <c r="AO115" s="578"/>
      <c r="AP115" s="578"/>
      <c r="AQ115" s="578"/>
      <c r="AR115" s="578"/>
      <c r="AS115" s="578"/>
      <c r="AT115" s="578"/>
      <c r="AU115" s="578"/>
      <c r="AV115" s="578"/>
      <c r="AW115" s="578"/>
      <c r="AX115" s="578"/>
      <c r="AY115" s="578"/>
      <c r="AZ115" s="578"/>
      <c r="BA115" s="578"/>
      <c r="BB115" s="578"/>
      <c r="BC115" s="578"/>
      <c r="BD115" s="578"/>
      <c r="BE115" s="578"/>
      <c r="BF115" s="578"/>
      <c r="BG115" s="578"/>
      <c r="BH115" s="578"/>
      <c r="BI115" s="578"/>
      <c r="BJ115" s="578"/>
      <c r="BK115" s="578"/>
      <c r="BL115" s="578"/>
      <c r="BM115" s="578"/>
      <c r="BN115" s="578"/>
      <c r="BO115" s="578"/>
      <c r="BP115" s="578"/>
      <c r="BQ115" s="578"/>
      <c r="BR115" s="578"/>
      <c r="BS115" s="578"/>
      <c r="BT115" s="578"/>
      <c r="BU115" s="578"/>
      <c r="BV115" s="578"/>
      <c r="BW115" s="578"/>
      <c r="BX115" s="578"/>
      <c r="BY115" s="578"/>
      <c r="BZ115" s="578"/>
      <c r="CA115" s="578"/>
      <c r="CB115" s="578"/>
      <c r="CC115" s="578"/>
      <c r="CD115" s="578"/>
      <c r="CE115" s="578"/>
      <c r="CF115" s="578"/>
      <c r="CG115" s="578"/>
      <c r="CH115" s="578"/>
      <c r="CI115" s="578"/>
      <c r="CJ115" s="578"/>
      <c r="CK115" s="578"/>
      <c r="CL115" s="578"/>
      <c r="CM115" s="578"/>
      <c r="CN115" s="578"/>
      <c r="CO115" s="578"/>
      <c r="CP115" s="578"/>
      <c r="CQ115" s="578"/>
      <c r="CR115" s="578"/>
      <c r="CS115" s="578"/>
      <c r="CT115" s="578"/>
      <c r="CU115" s="578"/>
      <c r="CV115" s="578"/>
      <c r="CW115" s="578"/>
      <c r="CX115" s="578"/>
      <c r="CY115" s="578"/>
      <c r="CZ115" s="578"/>
      <c r="DA115" s="578"/>
      <c r="DB115" s="578"/>
      <c r="DC115" s="578"/>
      <c r="DD115" s="578"/>
      <c r="DE115" s="578"/>
      <c r="DF115" s="578"/>
      <c r="DG115" s="578"/>
      <c r="DH115" s="578"/>
      <c r="DI115" s="578"/>
      <c r="DJ115" s="578"/>
      <c r="DK115" s="578"/>
      <c r="DL115" s="578"/>
      <c r="DM115" s="578"/>
      <c r="DN115" s="578"/>
      <c r="DO115" s="578"/>
      <c r="DP115" s="578"/>
      <c r="DQ115" s="578"/>
      <c r="DR115" s="578"/>
      <c r="DS115" s="578"/>
      <c r="DT115" s="578"/>
      <c r="DU115" s="578"/>
      <c r="DV115" s="578"/>
      <c r="DW115" s="578"/>
      <c r="DX115" s="578"/>
      <c r="DY115" s="578"/>
      <c r="DZ115" s="578"/>
      <c r="EA115" s="578"/>
      <c r="EB115" s="578"/>
      <c r="EC115" s="578"/>
      <c r="ED115" s="578"/>
      <c r="EE115" s="578"/>
      <c r="EF115" s="578"/>
      <c r="EG115" s="578"/>
      <c r="EH115" s="578"/>
      <c r="EI115" s="578"/>
      <c r="EJ115" s="578"/>
      <c r="EK115" s="578"/>
      <c r="EL115" s="578"/>
      <c r="EM115" s="578"/>
      <c r="EN115" s="578"/>
      <c r="EO115" s="578"/>
      <c r="EP115" s="578"/>
      <c r="EQ115" s="578"/>
      <c r="ER115" s="578"/>
      <c r="ES115" s="578"/>
      <c r="ET115" s="578"/>
      <c r="EU115" s="578"/>
      <c r="EV115" s="578"/>
      <c r="EW115" s="578"/>
      <c r="EX115" s="578"/>
      <c r="EY115" s="578"/>
      <c r="EZ115" s="578"/>
      <c r="FA115" s="578"/>
      <c r="FB115" s="578"/>
      <c r="FC115" s="578"/>
      <c r="FD115" s="578"/>
      <c r="FE115" s="578"/>
      <c r="FF115" s="578"/>
      <c r="FG115" s="578"/>
      <c r="FH115" s="578"/>
      <c r="FI115" s="578"/>
      <c r="FJ115" s="578"/>
      <c r="FK115" s="578"/>
      <c r="FL115" s="578"/>
      <c r="FM115" s="578"/>
      <c r="FN115" s="578"/>
      <c r="FO115" s="578"/>
      <c r="FP115" s="578"/>
      <c r="FQ115" s="578"/>
      <c r="FR115" s="578"/>
      <c r="FS115" s="578"/>
      <c r="FT115" s="578"/>
      <c r="FU115" s="578"/>
      <c r="FV115" s="578"/>
      <c r="FW115" s="578"/>
      <c r="FX115" s="578"/>
      <c r="FY115" s="578"/>
      <c r="FZ115" s="578"/>
      <c r="GA115" s="578"/>
      <c r="GB115" s="578"/>
      <c r="GC115" s="578"/>
      <c r="GD115" s="578"/>
      <c r="GE115" s="578"/>
      <c r="GF115" s="578"/>
      <c r="GG115" s="578"/>
      <c r="GH115" s="578"/>
      <c r="GI115" s="578"/>
      <c r="GJ115" s="578"/>
      <c r="GK115" s="578"/>
      <c r="GL115" s="578"/>
      <c r="GM115" s="578"/>
      <c r="GN115" s="578"/>
      <c r="GO115" s="578"/>
      <c r="GP115" s="578"/>
      <c r="GQ115" s="578"/>
      <c r="GR115" s="578"/>
      <c r="GS115" s="578"/>
      <c r="GT115" s="578"/>
      <c r="GU115" s="578"/>
      <c r="GV115" s="578"/>
      <c r="GW115" s="578"/>
      <c r="GX115" s="578"/>
      <c r="GY115" s="578"/>
      <c r="GZ115" s="578"/>
      <c r="HA115" s="578"/>
      <c r="HB115" s="578"/>
      <c r="HC115" s="578"/>
      <c r="HD115" s="578"/>
      <c r="HE115" s="578"/>
      <c r="HF115" s="578"/>
      <c r="HG115" s="578"/>
      <c r="HH115" s="578"/>
      <c r="HI115" s="578"/>
      <c r="HJ115" s="578"/>
      <c r="HK115" s="578"/>
      <c r="HL115" s="578"/>
      <c r="HM115" s="578"/>
      <c r="HN115" s="578"/>
      <c r="HO115" s="578"/>
      <c r="HP115" s="578"/>
      <c r="HQ115" s="578"/>
      <c r="HR115" s="578"/>
      <c r="HS115" s="578"/>
      <c r="HT115" s="578"/>
      <c r="HU115" s="578"/>
      <c r="HV115" s="578"/>
      <c r="HW115" s="578"/>
      <c r="HX115" s="578"/>
      <c r="HY115" s="578"/>
      <c r="HZ115" s="578"/>
      <c r="IA115" s="578"/>
      <c r="IB115" s="578"/>
      <c r="IC115" s="578"/>
      <c r="ID115" s="578"/>
      <c r="IE115" s="578"/>
      <c r="IF115" s="578"/>
      <c r="IG115" s="578"/>
      <c r="IH115" s="578"/>
      <c r="II115" s="578"/>
      <c r="IJ115" s="578"/>
      <c r="IK115" s="578"/>
      <c r="IL115" s="578"/>
      <c r="IM115" s="578"/>
      <c r="IN115" s="578"/>
      <c r="IO115" s="578"/>
      <c r="IP115" s="578"/>
      <c r="IQ115" s="578"/>
      <c r="IR115" s="578"/>
      <c r="IS115" s="578"/>
      <c r="IT115" s="578"/>
      <c r="IU115" s="578"/>
      <c r="IV115" s="578"/>
    </row>
    <row r="116" spans="1:256">
      <c r="A116" s="1037"/>
      <c r="B116" s="1038"/>
      <c r="C116" s="1038"/>
      <c r="D116" s="1038"/>
      <c r="E116" s="1038"/>
      <c r="F116" s="1039"/>
      <c r="G116" s="580">
        <f t="shared" si="236"/>
        <v>32517891</v>
      </c>
      <c r="H116" s="580">
        <f t="shared" si="236"/>
        <v>19812340</v>
      </c>
      <c r="I116" s="555" t="s">
        <v>14</v>
      </c>
      <c r="J116" s="581">
        <f>J21+J26+J31+J36+J41+J46+J51+J56+J61+J66+J71+J76+J81+J86+J91+J96+J101+J106+J111</f>
        <v>209731</v>
      </c>
      <c r="K116" s="581">
        <f t="shared" ref="K116:W116" si="237">K21+K26+K31+K36+K41+K46+K51+K56+K61+K66+K71+K76+K81+K86+K91+K96+K101+K106+K111</f>
        <v>178269</v>
      </c>
      <c r="L116" s="581">
        <f t="shared" si="237"/>
        <v>178269</v>
      </c>
      <c r="M116" s="581">
        <f t="shared" si="237"/>
        <v>0</v>
      </c>
      <c r="N116" s="581">
        <f t="shared" si="237"/>
        <v>31462</v>
      </c>
      <c r="O116" s="581">
        <f t="shared" si="237"/>
        <v>0</v>
      </c>
      <c r="P116" s="581">
        <f t="shared" si="237"/>
        <v>0</v>
      </c>
      <c r="Q116" s="581">
        <f t="shared" si="237"/>
        <v>0</v>
      </c>
      <c r="R116" s="581">
        <f t="shared" si="237"/>
        <v>31462</v>
      </c>
      <c r="S116" s="581">
        <f t="shared" si="237"/>
        <v>31462</v>
      </c>
      <c r="T116" s="581">
        <f t="shared" si="237"/>
        <v>0</v>
      </c>
      <c r="U116" s="581">
        <f t="shared" si="237"/>
        <v>0</v>
      </c>
      <c r="V116" s="581">
        <f t="shared" si="237"/>
        <v>0</v>
      </c>
      <c r="W116" s="581">
        <f t="shared" si="237"/>
        <v>0</v>
      </c>
      <c r="X116" s="578"/>
      <c r="Y116" s="578"/>
      <c r="Z116" s="578"/>
      <c r="AA116" s="578"/>
      <c r="AB116" s="578"/>
      <c r="AC116" s="578"/>
      <c r="AD116" s="578"/>
      <c r="AE116" s="578"/>
      <c r="AF116" s="578"/>
      <c r="AG116" s="578"/>
      <c r="AH116" s="578"/>
      <c r="AI116" s="578"/>
      <c r="AJ116" s="578"/>
      <c r="AK116" s="578"/>
      <c r="AL116" s="578"/>
      <c r="AM116" s="578"/>
      <c r="AN116" s="578"/>
      <c r="AO116" s="578"/>
      <c r="AP116" s="578"/>
      <c r="AQ116" s="578"/>
      <c r="AR116" s="578"/>
      <c r="AS116" s="578"/>
      <c r="AT116" s="578"/>
      <c r="AU116" s="578"/>
      <c r="AV116" s="578"/>
      <c r="AW116" s="578"/>
      <c r="AX116" s="578"/>
      <c r="AY116" s="578"/>
      <c r="AZ116" s="578"/>
      <c r="BA116" s="578"/>
      <c r="BB116" s="578"/>
      <c r="BC116" s="578"/>
      <c r="BD116" s="578"/>
      <c r="BE116" s="578"/>
      <c r="BF116" s="578"/>
      <c r="BG116" s="578"/>
      <c r="BH116" s="578"/>
      <c r="BI116" s="578"/>
      <c r="BJ116" s="578"/>
      <c r="BK116" s="578"/>
      <c r="BL116" s="578"/>
      <c r="BM116" s="578"/>
      <c r="BN116" s="578"/>
      <c r="BO116" s="578"/>
      <c r="BP116" s="578"/>
      <c r="BQ116" s="578"/>
      <c r="BR116" s="578"/>
      <c r="BS116" s="578"/>
      <c r="BT116" s="578"/>
      <c r="BU116" s="578"/>
      <c r="BV116" s="578"/>
      <c r="BW116" s="578"/>
      <c r="BX116" s="578"/>
      <c r="BY116" s="578"/>
      <c r="BZ116" s="578"/>
      <c r="CA116" s="578"/>
      <c r="CB116" s="578"/>
      <c r="CC116" s="578"/>
      <c r="CD116" s="578"/>
      <c r="CE116" s="578"/>
      <c r="CF116" s="578"/>
      <c r="CG116" s="578"/>
      <c r="CH116" s="578"/>
      <c r="CI116" s="578"/>
      <c r="CJ116" s="578"/>
      <c r="CK116" s="578"/>
      <c r="CL116" s="578"/>
      <c r="CM116" s="578"/>
      <c r="CN116" s="578"/>
      <c r="CO116" s="578"/>
      <c r="CP116" s="578"/>
      <c r="CQ116" s="578"/>
      <c r="CR116" s="578"/>
      <c r="CS116" s="578"/>
      <c r="CT116" s="578"/>
      <c r="CU116" s="578"/>
      <c r="CV116" s="578"/>
      <c r="CW116" s="578"/>
      <c r="CX116" s="578"/>
      <c r="CY116" s="578"/>
      <c r="CZ116" s="578"/>
      <c r="DA116" s="578"/>
      <c r="DB116" s="578"/>
      <c r="DC116" s="578"/>
      <c r="DD116" s="578"/>
      <c r="DE116" s="578"/>
      <c r="DF116" s="578"/>
      <c r="DG116" s="578"/>
      <c r="DH116" s="578"/>
      <c r="DI116" s="578"/>
      <c r="DJ116" s="578"/>
      <c r="DK116" s="578"/>
      <c r="DL116" s="578"/>
      <c r="DM116" s="578"/>
      <c r="DN116" s="578"/>
      <c r="DO116" s="578"/>
      <c r="DP116" s="578"/>
      <c r="DQ116" s="578"/>
      <c r="DR116" s="578"/>
      <c r="DS116" s="578"/>
      <c r="DT116" s="578"/>
      <c r="DU116" s="578"/>
      <c r="DV116" s="578"/>
      <c r="DW116" s="578"/>
      <c r="DX116" s="578"/>
      <c r="DY116" s="578"/>
      <c r="DZ116" s="578"/>
      <c r="EA116" s="578"/>
      <c r="EB116" s="578"/>
      <c r="EC116" s="578"/>
      <c r="ED116" s="578"/>
      <c r="EE116" s="578"/>
      <c r="EF116" s="578"/>
      <c r="EG116" s="578"/>
      <c r="EH116" s="578"/>
      <c r="EI116" s="578"/>
      <c r="EJ116" s="578"/>
      <c r="EK116" s="578"/>
      <c r="EL116" s="578"/>
      <c r="EM116" s="578"/>
      <c r="EN116" s="578"/>
      <c r="EO116" s="578"/>
      <c r="EP116" s="578"/>
      <c r="EQ116" s="578"/>
      <c r="ER116" s="578"/>
      <c r="ES116" s="578"/>
      <c r="ET116" s="578"/>
      <c r="EU116" s="578"/>
      <c r="EV116" s="578"/>
      <c r="EW116" s="578"/>
      <c r="EX116" s="578"/>
      <c r="EY116" s="578"/>
      <c r="EZ116" s="578"/>
      <c r="FA116" s="578"/>
      <c r="FB116" s="578"/>
      <c r="FC116" s="578"/>
      <c r="FD116" s="578"/>
      <c r="FE116" s="578"/>
      <c r="FF116" s="578"/>
      <c r="FG116" s="578"/>
      <c r="FH116" s="578"/>
      <c r="FI116" s="578"/>
      <c r="FJ116" s="578"/>
      <c r="FK116" s="578"/>
      <c r="FL116" s="578"/>
      <c r="FM116" s="578"/>
      <c r="FN116" s="578"/>
      <c r="FO116" s="578"/>
      <c r="FP116" s="578"/>
      <c r="FQ116" s="578"/>
      <c r="FR116" s="578"/>
      <c r="FS116" s="578"/>
      <c r="FT116" s="578"/>
      <c r="FU116" s="578"/>
      <c r="FV116" s="578"/>
      <c r="FW116" s="578"/>
      <c r="FX116" s="578"/>
      <c r="FY116" s="578"/>
      <c r="FZ116" s="578"/>
      <c r="GA116" s="578"/>
      <c r="GB116" s="578"/>
      <c r="GC116" s="578"/>
      <c r="GD116" s="578"/>
      <c r="GE116" s="578"/>
      <c r="GF116" s="578"/>
      <c r="GG116" s="578"/>
      <c r="GH116" s="578"/>
      <c r="GI116" s="578"/>
      <c r="GJ116" s="578"/>
      <c r="GK116" s="578"/>
      <c r="GL116" s="578"/>
      <c r="GM116" s="578"/>
      <c r="GN116" s="578"/>
      <c r="GO116" s="578"/>
      <c r="GP116" s="578"/>
      <c r="GQ116" s="578"/>
      <c r="GR116" s="578"/>
      <c r="GS116" s="578"/>
      <c r="GT116" s="578"/>
      <c r="GU116" s="578"/>
      <c r="GV116" s="578"/>
      <c r="GW116" s="578"/>
      <c r="GX116" s="578"/>
      <c r="GY116" s="578"/>
      <c r="GZ116" s="578"/>
      <c r="HA116" s="578"/>
      <c r="HB116" s="578"/>
      <c r="HC116" s="578"/>
      <c r="HD116" s="578"/>
      <c r="HE116" s="578"/>
      <c r="HF116" s="578"/>
      <c r="HG116" s="578"/>
      <c r="HH116" s="578"/>
      <c r="HI116" s="578"/>
      <c r="HJ116" s="578"/>
      <c r="HK116" s="578"/>
      <c r="HL116" s="578"/>
      <c r="HM116" s="578"/>
      <c r="HN116" s="578"/>
      <c r="HO116" s="578"/>
      <c r="HP116" s="578"/>
      <c r="HQ116" s="578"/>
      <c r="HR116" s="578"/>
      <c r="HS116" s="578"/>
      <c r="HT116" s="578"/>
      <c r="HU116" s="578"/>
      <c r="HV116" s="578"/>
      <c r="HW116" s="578"/>
      <c r="HX116" s="578"/>
      <c r="HY116" s="578"/>
      <c r="HZ116" s="578"/>
      <c r="IA116" s="578"/>
      <c r="IB116" s="578"/>
      <c r="IC116" s="578"/>
      <c r="ID116" s="578"/>
      <c r="IE116" s="578"/>
      <c r="IF116" s="578"/>
      <c r="IG116" s="578"/>
      <c r="IH116" s="578"/>
      <c r="II116" s="578"/>
      <c r="IJ116" s="578"/>
      <c r="IK116" s="578"/>
      <c r="IL116" s="578"/>
      <c r="IM116" s="578"/>
      <c r="IN116" s="578"/>
      <c r="IO116" s="578"/>
      <c r="IP116" s="578"/>
      <c r="IQ116" s="578"/>
      <c r="IR116" s="578"/>
      <c r="IS116" s="578"/>
      <c r="IT116" s="578"/>
      <c r="IU116" s="578"/>
      <c r="IV116" s="578"/>
    </row>
    <row r="117" spans="1:256">
      <c r="A117" s="1037"/>
      <c r="B117" s="1038"/>
      <c r="C117" s="1038"/>
      <c r="D117" s="1038"/>
      <c r="E117" s="1038"/>
      <c r="F117" s="1039"/>
      <c r="G117" s="580">
        <f t="shared" si="236"/>
        <v>20183265</v>
      </c>
      <c r="H117" s="580">
        <f t="shared" si="236"/>
        <v>8275196</v>
      </c>
      <c r="I117" s="1001" t="s">
        <v>15</v>
      </c>
      <c r="J117" s="1043">
        <f>J114+J116</f>
        <v>50096574</v>
      </c>
      <c r="K117" s="1043">
        <f t="shared" ref="K117:W117" si="238">K114+K116</f>
        <v>29959482</v>
      </c>
      <c r="L117" s="1043">
        <f t="shared" si="238"/>
        <v>20999303</v>
      </c>
      <c r="M117" s="1043">
        <f t="shared" si="238"/>
        <v>8960179</v>
      </c>
      <c r="N117" s="1043">
        <f t="shared" si="238"/>
        <v>20137092</v>
      </c>
      <c r="O117" s="1043">
        <f t="shared" si="238"/>
        <v>8318393</v>
      </c>
      <c r="P117" s="1043">
        <f t="shared" si="238"/>
        <v>8318393</v>
      </c>
      <c r="Q117" s="1043">
        <f t="shared" si="238"/>
        <v>0</v>
      </c>
      <c r="R117" s="1043">
        <f t="shared" si="238"/>
        <v>11818699</v>
      </c>
      <c r="S117" s="1043">
        <f t="shared" si="238"/>
        <v>1428497</v>
      </c>
      <c r="T117" s="1043">
        <f t="shared" si="238"/>
        <v>10390202</v>
      </c>
      <c r="U117" s="1043">
        <f t="shared" si="238"/>
        <v>0</v>
      </c>
      <c r="V117" s="1043">
        <f t="shared" si="238"/>
        <v>0</v>
      </c>
      <c r="W117" s="1043">
        <f t="shared" si="238"/>
        <v>0</v>
      </c>
      <c r="X117" s="578"/>
      <c r="Y117" s="578"/>
      <c r="Z117" s="578"/>
      <c r="AA117" s="578"/>
      <c r="AB117" s="578"/>
      <c r="AC117" s="578"/>
      <c r="AD117" s="578"/>
      <c r="AE117" s="578"/>
      <c r="AF117" s="578"/>
      <c r="AG117" s="578"/>
      <c r="AH117" s="578"/>
      <c r="AI117" s="578"/>
      <c r="AJ117" s="578"/>
      <c r="AK117" s="578"/>
      <c r="AL117" s="578"/>
      <c r="AM117" s="578"/>
      <c r="AN117" s="578"/>
      <c r="AO117" s="578"/>
      <c r="AP117" s="578"/>
      <c r="AQ117" s="578"/>
      <c r="AR117" s="578"/>
      <c r="AS117" s="578"/>
      <c r="AT117" s="578"/>
      <c r="AU117" s="578"/>
      <c r="AV117" s="578"/>
      <c r="AW117" s="578"/>
      <c r="AX117" s="578"/>
      <c r="AY117" s="578"/>
      <c r="AZ117" s="578"/>
      <c r="BA117" s="578"/>
      <c r="BB117" s="578"/>
      <c r="BC117" s="578"/>
      <c r="BD117" s="578"/>
      <c r="BE117" s="578"/>
      <c r="BF117" s="578"/>
      <c r="BG117" s="578"/>
      <c r="BH117" s="578"/>
      <c r="BI117" s="578"/>
      <c r="BJ117" s="578"/>
      <c r="BK117" s="578"/>
      <c r="BL117" s="578"/>
      <c r="BM117" s="578"/>
      <c r="BN117" s="578"/>
      <c r="BO117" s="578"/>
      <c r="BP117" s="578"/>
      <c r="BQ117" s="578"/>
      <c r="BR117" s="578"/>
      <c r="BS117" s="578"/>
      <c r="BT117" s="578"/>
      <c r="BU117" s="578"/>
      <c r="BV117" s="578"/>
      <c r="BW117" s="578"/>
      <c r="BX117" s="578"/>
      <c r="BY117" s="578"/>
      <c r="BZ117" s="578"/>
      <c r="CA117" s="578"/>
      <c r="CB117" s="578"/>
      <c r="CC117" s="578"/>
      <c r="CD117" s="578"/>
      <c r="CE117" s="578"/>
      <c r="CF117" s="578"/>
      <c r="CG117" s="578"/>
      <c r="CH117" s="578"/>
      <c r="CI117" s="578"/>
      <c r="CJ117" s="578"/>
      <c r="CK117" s="578"/>
      <c r="CL117" s="578"/>
      <c r="CM117" s="578"/>
      <c r="CN117" s="578"/>
      <c r="CO117" s="578"/>
      <c r="CP117" s="578"/>
      <c r="CQ117" s="578"/>
      <c r="CR117" s="578"/>
      <c r="CS117" s="578"/>
      <c r="CT117" s="578"/>
      <c r="CU117" s="578"/>
      <c r="CV117" s="578"/>
      <c r="CW117" s="578"/>
      <c r="CX117" s="578"/>
      <c r="CY117" s="578"/>
      <c r="CZ117" s="578"/>
      <c r="DA117" s="578"/>
      <c r="DB117" s="578"/>
      <c r="DC117" s="578"/>
      <c r="DD117" s="578"/>
      <c r="DE117" s="578"/>
      <c r="DF117" s="578"/>
      <c r="DG117" s="578"/>
      <c r="DH117" s="578"/>
      <c r="DI117" s="578"/>
      <c r="DJ117" s="578"/>
      <c r="DK117" s="578"/>
      <c r="DL117" s="578"/>
      <c r="DM117" s="578"/>
      <c r="DN117" s="578"/>
      <c r="DO117" s="578"/>
      <c r="DP117" s="578"/>
      <c r="DQ117" s="578"/>
      <c r="DR117" s="578"/>
      <c r="DS117" s="578"/>
      <c r="DT117" s="578"/>
      <c r="DU117" s="578"/>
      <c r="DV117" s="578"/>
      <c r="DW117" s="578"/>
      <c r="DX117" s="578"/>
      <c r="DY117" s="578"/>
      <c r="DZ117" s="578"/>
      <c r="EA117" s="578"/>
      <c r="EB117" s="578"/>
      <c r="EC117" s="578"/>
      <c r="ED117" s="578"/>
      <c r="EE117" s="578"/>
      <c r="EF117" s="578"/>
      <c r="EG117" s="578"/>
      <c r="EH117" s="578"/>
      <c r="EI117" s="578"/>
      <c r="EJ117" s="578"/>
      <c r="EK117" s="578"/>
      <c r="EL117" s="578"/>
      <c r="EM117" s="578"/>
      <c r="EN117" s="578"/>
      <c r="EO117" s="578"/>
      <c r="EP117" s="578"/>
      <c r="EQ117" s="578"/>
      <c r="ER117" s="578"/>
      <c r="ES117" s="578"/>
      <c r="ET117" s="578"/>
      <c r="EU117" s="578"/>
      <c r="EV117" s="578"/>
      <c r="EW117" s="578"/>
      <c r="EX117" s="578"/>
      <c r="EY117" s="578"/>
      <c r="EZ117" s="578"/>
      <c r="FA117" s="578"/>
      <c r="FB117" s="578"/>
      <c r="FC117" s="578"/>
      <c r="FD117" s="578"/>
      <c r="FE117" s="578"/>
      <c r="FF117" s="578"/>
      <c r="FG117" s="578"/>
      <c r="FH117" s="578"/>
      <c r="FI117" s="578"/>
      <c r="FJ117" s="578"/>
      <c r="FK117" s="578"/>
      <c r="FL117" s="578"/>
      <c r="FM117" s="578"/>
      <c r="FN117" s="578"/>
      <c r="FO117" s="578"/>
      <c r="FP117" s="578"/>
      <c r="FQ117" s="578"/>
      <c r="FR117" s="578"/>
      <c r="FS117" s="578"/>
      <c r="FT117" s="578"/>
      <c r="FU117" s="578"/>
      <c r="FV117" s="578"/>
      <c r="FW117" s="578"/>
      <c r="FX117" s="578"/>
      <c r="FY117" s="578"/>
      <c r="FZ117" s="578"/>
      <c r="GA117" s="578"/>
      <c r="GB117" s="578"/>
      <c r="GC117" s="578"/>
      <c r="GD117" s="578"/>
      <c r="GE117" s="578"/>
      <c r="GF117" s="578"/>
      <c r="GG117" s="578"/>
      <c r="GH117" s="578"/>
      <c r="GI117" s="578"/>
      <c r="GJ117" s="578"/>
      <c r="GK117" s="578"/>
      <c r="GL117" s="578"/>
      <c r="GM117" s="578"/>
      <c r="GN117" s="578"/>
      <c r="GO117" s="578"/>
      <c r="GP117" s="578"/>
      <c r="GQ117" s="578"/>
      <c r="GR117" s="578"/>
      <c r="GS117" s="578"/>
      <c r="GT117" s="578"/>
      <c r="GU117" s="578"/>
      <c r="GV117" s="578"/>
      <c r="GW117" s="578"/>
      <c r="GX117" s="578"/>
      <c r="GY117" s="578"/>
      <c r="GZ117" s="578"/>
      <c r="HA117" s="578"/>
      <c r="HB117" s="578"/>
      <c r="HC117" s="578"/>
      <c r="HD117" s="578"/>
      <c r="HE117" s="578"/>
      <c r="HF117" s="578"/>
      <c r="HG117" s="578"/>
      <c r="HH117" s="578"/>
      <c r="HI117" s="578"/>
      <c r="HJ117" s="578"/>
      <c r="HK117" s="578"/>
      <c r="HL117" s="578"/>
      <c r="HM117" s="578"/>
      <c r="HN117" s="578"/>
      <c r="HO117" s="578"/>
      <c r="HP117" s="578"/>
      <c r="HQ117" s="578"/>
      <c r="HR117" s="578"/>
      <c r="HS117" s="578"/>
      <c r="HT117" s="578"/>
      <c r="HU117" s="578"/>
      <c r="HV117" s="578"/>
      <c r="HW117" s="578"/>
      <c r="HX117" s="578"/>
      <c r="HY117" s="578"/>
      <c r="HZ117" s="578"/>
      <c r="IA117" s="578"/>
      <c r="IB117" s="578"/>
      <c r="IC117" s="578"/>
      <c r="ID117" s="578"/>
      <c r="IE117" s="578"/>
      <c r="IF117" s="578"/>
      <c r="IG117" s="578"/>
      <c r="IH117" s="578"/>
      <c r="II117" s="578"/>
      <c r="IJ117" s="578"/>
      <c r="IK117" s="578"/>
      <c r="IL117" s="578"/>
      <c r="IM117" s="578"/>
      <c r="IN117" s="578"/>
      <c r="IO117" s="578"/>
      <c r="IP117" s="578"/>
      <c r="IQ117" s="578"/>
      <c r="IR117" s="578"/>
      <c r="IS117" s="578"/>
      <c r="IT117" s="578"/>
      <c r="IU117" s="578"/>
      <c r="IV117" s="578"/>
    </row>
    <row r="118" spans="1:256">
      <c r="A118" s="1040"/>
      <c r="B118" s="1041"/>
      <c r="C118" s="1041"/>
      <c r="D118" s="1041"/>
      <c r="E118" s="1041"/>
      <c r="F118" s="1042"/>
      <c r="G118" s="580">
        <f t="shared" si="236"/>
        <v>0</v>
      </c>
      <c r="H118" s="580">
        <f t="shared" si="236"/>
        <v>0</v>
      </c>
      <c r="I118" s="1002"/>
      <c r="J118" s="1043"/>
      <c r="K118" s="1043"/>
      <c r="L118" s="1043"/>
      <c r="M118" s="1043"/>
      <c r="N118" s="1043"/>
      <c r="O118" s="1043"/>
      <c r="P118" s="1043"/>
      <c r="Q118" s="1043"/>
      <c r="R118" s="1043"/>
      <c r="S118" s="1043"/>
      <c r="T118" s="1043"/>
      <c r="U118" s="1043"/>
      <c r="V118" s="1043"/>
      <c r="W118" s="1043"/>
      <c r="X118" s="578"/>
      <c r="Y118" s="578"/>
      <c r="Z118" s="578"/>
      <c r="AA118" s="578"/>
      <c r="AB118" s="578"/>
      <c r="AC118" s="578"/>
      <c r="AD118" s="578"/>
      <c r="AE118" s="578"/>
      <c r="AF118" s="578"/>
      <c r="AG118" s="578"/>
      <c r="AH118" s="578"/>
      <c r="AI118" s="578"/>
      <c r="AJ118" s="578"/>
      <c r="AK118" s="578"/>
      <c r="AL118" s="578"/>
      <c r="AM118" s="578"/>
      <c r="AN118" s="578"/>
      <c r="AO118" s="578"/>
      <c r="AP118" s="578"/>
      <c r="AQ118" s="578"/>
      <c r="AR118" s="578"/>
      <c r="AS118" s="578"/>
      <c r="AT118" s="578"/>
      <c r="AU118" s="578"/>
      <c r="AV118" s="578"/>
      <c r="AW118" s="578"/>
      <c r="AX118" s="578"/>
      <c r="AY118" s="578"/>
      <c r="AZ118" s="578"/>
      <c r="BA118" s="578"/>
      <c r="BB118" s="578"/>
      <c r="BC118" s="578"/>
      <c r="BD118" s="578"/>
      <c r="BE118" s="578"/>
      <c r="BF118" s="578"/>
      <c r="BG118" s="578"/>
      <c r="BH118" s="578"/>
      <c r="BI118" s="578"/>
      <c r="BJ118" s="578"/>
      <c r="BK118" s="578"/>
      <c r="BL118" s="578"/>
      <c r="BM118" s="578"/>
      <c r="BN118" s="578"/>
      <c r="BO118" s="578"/>
      <c r="BP118" s="578"/>
      <c r="BQ118" s="578"/>
      <c r="BR118" s="578"/>
      <c r="BS118" s="578"/>
      <c r="BT118" s="578"/>
      <c r="BU118" s="578"/>
      <c r="BV118" s="578"/>
      <c r="BW118" s="578"/>
      <c r="BX118" s="578"/>
      <c r="BY118" s="578"/>
      <c r="BZ118" s="578"/>
      <c r="CA118" s="578"/>
      <c r="CB118" s="578"/>
      <c r="CC118" s="578"/>
      <c r="CD118" s="578"/>
      <c r="CE118" s="578"/>
      <c r="CF118" s="578"/>
      <c r="CG118" s="578"/>
      <c r="CH118" s="578"/>
      <c r="CI118" s="578"/>
      <c r="CJ118" s="578"/>
      <c r="CK118" s="578"/>
      <c r="CL118" s="578"/>
      <c r="CM118" s="578"/>
      <c r="CN118" s="578"/>
      <c r="CO118" s="578"/>
      <c r="CP118" s="578"/>
      <c r="CQ118" s="578"/>
      <c r="CR118" s="578"/>
      <c r="CS118" s="578"/>
      <c r="CT118" s="578"/>
      <c r="CU118" s="578"/>
      <c r="CV118" s="578"/>
      <c r="CW118" s="578"/>
      <c r="CX118" s="578"/>
      <c r="CY118" s="578"/>
      <c r="CZ118" s="578"/>
      <c r="DA118" s="578"/>
      <c r="DB118" s="578"/>
      <c r="DC118" s="578"/>
      <c r="DD118" s="578"/>
      <c r="DE118" s="578"/>
      <c r="DF118" s="578"/>
      <c r="DG118" s="578"/>
      <c r="DH118" s="578"/>
      <c r="DI118" s="578"/>
      <c r="DJ118" s="578"/>
      <c r="DK118" s="578"/>
      <c r="DL118" s="578"/>
      <c r="DM118" s="578"/>
      <c r="DN118" s="578"/>
      <c r="DO118" s="578"/>
      <c r="DP118" s="578"/>
      <c r="DQ118" s="578"/>
      <c r="DR118" s="578"/>
      <c r="DS118" s="578"/>
      <c r="DT118" s="578"/>
      <c r="DU118" s="578"/>
      <c r="DV118" s="578"/>
      <c r="DW118" s="578"/>
      <c r="DX118" s="578"/>
      <c r="DY118" s="578"/>
      <c r="DZ118" s="578"/>
      <c r="EA118" s="578"/>
      <c r="EB118" s="578"/>
      <c r="EC118" s="578"/>
      <c r="ED118" s="578"/>
      <c r="EE118" s="578"/>
      <c r="EF118" s="578"/>
      <c r="EG118" s="578"/>
      <c r="EH118" s="578"/>
      <c r="EI118" s="578"/>
      <c r="EJ118" s="578"/>
      <c r="EK118" s="578"/>
      <c r="EL118" s="578"/>
      <c r="EM118" s="578"/>
      <c r="EN118" s="578"/>
      <c r="EO118" s="578"/>
      <c r="EP118" s="578"/>
      <c r="EQ118" s="578"/>
      <c r="ER118" s="578"/>
      <c r="ES118" s="578"/>
      <c r="ET118" s="578"/>
      <c r="EU118" s="578"/>
      <c r="EV118" s="578"/>
      <c r="EW118" s="578"/>
      <c r="EX118" s="578"/>
      <c r="EY118" s="578"/>
      <c r="EZ118" s="578"/>
      <c r="FA118" s="578"/>
      <c r="FB118" s="578"/>
      <c r="FC118" s="578"/>
      <c r="FD118" s="578"/>
      <c r="FE118" s="578"/>
      <c r="FF118" s="578"/>
      <c r="FG118" s="578"/>
      <c r="FH118" s="578"/>
      <c r="FI118" s="578"/>
      <c r="FJ118" s="578"/>
      <c r="FK118" s="578"/>
      <c r="FL118" s="578"/>
      <c r="FM118" s="578"/>
      <c r="FN118" s="578"/>
      <c r="FO118" s="578"/>
      <c r="FP118" s="578"/>
      <c r="FQ118" s="578"/>
      <c r="FR118" s="578"/>
      <c r="FS118" s="578"/>
      <c r="FT118" s="578"/>
      <c r="FU118" s="578"/>
      <c r="FV118" s="578"/>
      <c r="FW118" s="578"/>
      <c r="FX118" s="578"/>
      <c r="FY118" s="578"/>
      <c r="FZ118" s="578"/>
      <c r="GA118" s="578"/>
      <c r="GB118" s="578"/>
      <c r="GC118" s="578"/>
      <c r="GD118" s="578"/>
      <c r="GE118" s="578"/>
      <c r="GF118" s="578"/>
      <c r="GG118" s="578"/>
      <c r="GH118" s="578"/>
      <c r="GI118" s="578"/>
      <c r="GJ118" s="578"/>
      <c r="GK118" s="578"/>
      <c r="GL118" s="578"/>
      <c r="GM118" s="578"/>
      <c r="GN118" s="578"/>
      <c r="GO118" s="578"/>
      <c r="GP118" s="578"/>
      <c r="GQ118" s="578"/>
      <c r="GR118" s="578"/>
      <c r="GS118" s="578"/>
      <c r="GT118" s="578"/>
      <c r="GU118" s="578"/>
      <c r="GV118" s="578"/>
      <c r="GW118" s="578"/>
      <c r="GX118" s="578"/>
      <c r="GY118" s="578"/>
      <c r="GZ118" s="578"/>
      <c r="HA118" s="578"/>
      <c r="HB118" s="578"/>
      <c r="HC118" s="578"/>
      <c r="HD118" s="578"/>
      <c r="HE118" s="578"/>
      <c r="HF118" s="578"/>
      <c r="HG118" s="578"/>
      <c r="HH118" s="578"/>
      <c r="HI118" s="578"/>
      <c r="HJ118" s="578"/>
      <c r="HK118" s="578"/>
      <c r="HL118" s="578"/>
      <c r="HM118" s="578"/>
      <c r="HN118" s="578"/>
      <c r="HO118" s="578"/>
      <c r="HP118" s="578"/>
      <c r="HQ118" s="578"/>
      <c r="HR118" s="578"/>
      <c r="HS118" s="578"/>
      <c r="HT118" s="578"/>
      <c r="HU118" s="578"/>
      <c r="HV118" s="578"/>
      <c r="HW118" s="578"/>
      <c r="HX118" s="578"/>
      <c r="HY118" s="578"/>
      <c r="HZ118" s="578"/>
      <c r="IA118" s="578"/>
      <c r="IB118" s="578"/>
      <c r="IC118" s="578"/>
      <c r="ID118" s="578"/>
      <c r="IE118" s="578"/>
      <c r="IF118" s="578"/>
      <c r="IG118" s="578"/>
      <c r="IH118" s="578"/>
      <c r="II118" s="578"/>
      <c r="IJ118" s="578"/>
      <c r="IK118" s="578"/>
      <c r="IL118" s="578"/>
      <c r="IM118" s="578"/>
      <c r="IN118" s="578"/>
      <c r="IO118" s="578"/>
      <c r="IP118" s="578"/>
      <c r="IQ118" s="578"/>
      <c r="IR118" s="578"/>
      <c r="IS118" s="578"/>
      <c r="IT118" s="578"/>
      <c r="IU118" s="578"/>
      <c r="IV118" s="578"/>
    </row>
    <row r="119" spans="1:256">
      <c r="A119" s="582" t="s">
        <v>11</v>
      </c>
    </row>
    <row r="120" spans="1:256">
      <c r="A120" s="583" t="s">
        <v>13</v>
      </c>
      <c r="B120" s="584" t="s">
        <v>1110</v>
      </c>
    </row>
    <row r="121" spans="1:256">
      <c r="A121" s="583" t="s">
        <v>14</v>
      </c>
      <c r="B121" s="584" t="s">
        <v>1111</v>
      </c>
    </row>
    <row r="122" spans="1:256">
      <c r="A122" s="583" t="s">
        <v>15</v>
      </c>
      <c r="B122" s="584" t="s">
        <v>1112</v>
      </c>
    </row>
  </sheetData>
  <sheetProtection password="C25B" sheet="1" objects="1" scenarios="1"/>
  <mergeCells count="751">
    <mergeCell ref="W117:W118"/>
    <mergeCell ref="Q117:Q118"/>
    <mergeCell ref="R117:R118"/>
    <mergeCell ref="S117:S118"/>
    <mergeCell ref="T117:T118"/>
    <mergeCell ref="U117:U118"/>
    <mergeCell ref="V117:V118"/>
    <mergeCell ref="V114:V115"/>
    <mergeCell ref="W114:W115"/>
    <mergeCell ref="Q114:Q115"/>
    <mergeCell ref="R114:R115"/>
    <mergeCell ref="S114:S115"/>
    <mergeCell ref="T114:T115"/>
    <mergeCell ref="U114:U115"/>
    <mergeCell ref="R112:R113"/>
    <mergeCell ref="S112:S113"/>
    <mergeCell ref="T112:T113"/>
    <mergeCell ref="U112:U113"/>
    <mergeCell ref="A109:A113"/>
    <mergeCell ref="B109:B113"/>
    <mergeCell ref="C109:C113"/>
    <mergeCell ref="D109:D113"/>
    <mergeCell ref="E109:E113"/>
    <mergeCell ref="F109:F113"/>
    <mergeCell ref="U109:U110"/>
    <mergeCell ref="A114:F118"/>
    <mergeCell ref="I114:I115"/>
    <mergeCell ref="J114:J115"/>
    <mergeCell ref="K114:K115"/>
    <mergeCell ref="L114:L115"/>
    <mergeCell ref="M114:M115"/>
    <mergeCell ref="N114:N115"/>
    <mergeCell ref="O114:O115"/>
    <mergeCell ref="P112:P113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P114:P115"/>
    <mergeCell ref="V109:V110"/>
    <mergeCell ref="W109:W110"/>
    <mergeCell ref="I112:I113"/>
    <mergeCell ref="J112:J113"/>
    <mergeCell ref="K112:K113"/>
    <mergeCell ref="L112:L113"/>
    <mergeCell ref="M112:M113"/>
    <mergeCell ref="N112:N113"/>
    <mergeCell ref="O112:O113"/>
    <mergeCell ref="O109:O110"/>
    <mergeCell ref="P109:P110"/>
    <mergeCell ref="Q109:Q110"/>
    <mergeCell ref="R109:R110"/>
    <mergeCell ref="S109:S110"/>
    <mergeCell ref="T109:T110"/>
    <mergeCell ref="I109:I110"/>
    <mergeCell ref="J109:J110"/>
    <mergeCell ref="K109:K110"/>
    <mergeCell ref="L109:L110"/>
    <mergeCell ref="M109:M110"/>
    <mergeCell ref="N109:N110"/>
    <mergeCell ref="V112:V113"/>
    <mergeCell ref="W112:W113"/>
    <mergeCell ref="Q112:Q113"/>
    <mergeCell ref="R107:R108"/>
    <mergeCell ref="S107:S108"/>
    <mergeCell ref="T107:T108"/>
    <mergeCell ref="U107:U108"/>
    <mergeCell ref="V107:V108"/>
    <mergeCell ref="W107:W108"/>
    <mergeCell ref="W104:W105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V102:V103"/>
    <mergeCell ref="W102:W103"/>
    <mergeCell ref="A104:A108"/>
    <mergeCell ref="B104:B108"/>
    <mergeCell ref="C104:C108"/>
    <mergeCell ref="D104:D108"/>
    <mergeCell ref="E104:E108"/>
    <mergeCell ref="F104:F108"/>
    <mergeCell ref="I104:I105"/>
    <mergeCell ref="J104:J105"/>
    <mergeCell ref="P102:P103"/>
    <mergeCell ref="Q102:Q103"/>
    <mergeCell ref="R102:R103"/>
    <mergeCell ref="S102:S103"/>
    <mergeCell ref="T102:T103"/>
    <mergeCell ref="U102:U103"/>
    <mergeCell ref="A99:A103"/>
    <mergeCell ref="B99:B103"/>
    <mergeCell ref="C99:C103"/>
    <mergeCell ref="D99:D103"/>
    <mergeCell ref="U99:U100"/>
    <mergeCell ref="V99:V100"/>
    <mergeCell ref="W99:W100"/>
    <mergeCell ref="I102:I103"/>
    <mergeCell ref="J102:J103"/>
    <mergeCell ref="K102:K103"/>
    <mergeCell ref="L102:L103"/>
    <mergeCell ref="M102:M103"/>
    <mergeCell ref="N102:N103"/>
    <mergeCell ref="O102:O103"/>
    <mergeCell ref="O99:O100"/>
    <mergeCell ref="P99:P100"/>
    <mergeCell ref="Q99:Q100"/>
    <mergeCell ref="R99:R100"/>
    <mergeCell ref="S99:S100"/>
    <mergeCell ref="T99:T100"/>
    <mergeCell ref="I99:I100"/>
    <mergeCell ref="J99:J100"/>
    <mergeCell ref="K99:K100"/>
    <mergeCell ref="L99:L100"/>
    <mergeCell ref="M99:M100"/>
    <mergeCell ref="N99:N100"/>
    <mergeCell ref="E99:E103"/>
    <mergeCell ref="F99:F103"/>
    <mergeCell ref="R97:R98"/>
    <mergeCell ref="S97:S98"/>
    <mergeCell ref="T97:T98"/>
    <mergeCell ref="U97:U98"/>
    <mergeCell ref="V97:V98"/>
    <mergeCell ref="W97:W98"/>
    <mergeCell ref="W94:W95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V92:V93"/>
    <mergeCell ref="W92:W93"/>
    <mergeCell ref="A94:A98"/>
    <mergeCell ref="B94:B98"/>
    <mergeCell ref="C94:C98"/>
    <mergeCell ref="D94:D98"/>
    <mergeCell ref="E94:E98"/>
    <mergeCell ref="F94:F98"/>
    <mergeCell ref="I94:I95"/>
    <mergeCell ref="J94:J95"/>
    <mergeCell ref="P92:P93"/>
    <mergeCell ref="Q92:Q93"/>
    <mergeCell ref="R92:R93"/>
    <mergeCell ref="S92:S93"/>
    <mergeCell ref="T92:T93"/>
    <mergeCell ref="U92:U93"/>
    <mergeCell ref="A89:A93"/>
    <mergeCell ref="B89:B93"/>
    <mergeCell ref="W89:W90"/>
    <mergeCell ref="I92:I93"/>
    <mergeCell ref="J92:J93"/>
    <mergeCell ref="K92:K93"/>
    <mergeCell ref="L92:L93"/>
    <mergeCell ref="M92:M93"/>
    <mergeCell ref="N92:N93"/>
    <mergeCell ref="O92:O93"/>
    <mergeCell ref="O89:O90"/>
    <mergeCell ref="P89:P90"/>
    <mergeCell ref="Q89:Q90"/>
    <mergeCell ref="R89:R90"/>
    <mergeCell ref="S89:S90"/>
    <mergeCell ref="T89:T90"/>
    <mergeCell ref="I89:I90"/>
    <mergeCell ref="J89:J90"/>
    <mergeCell ref="K89:K90"/>
    <mergeCell ref="L89:L90"/>
    <mergeCell ref="M89:M90"/>
    <mergeCell ref="N89:N90"/>
    <mergeCell ref="C89:C93"/>
    <mergeCell ref="D89:D93"/>
    <mergeCell ref="E89:E93"/>
    <mergeCell ref="F89:F93"/>
    <mergeCell ref="R87:R88"/>
    <mergeCell ref="S87:S88"/>
    <mergeCell ref="T87:T88"/>
    <mergeCell ref="U87:U88"/>
    <mergeCell ref="V87:V88"/>
    <mergeCell ref="U89:U90"/>
    <mergeCell ref="V89:V90"/>
    <mergeCell ref="W87:W88"/>
    <mergeCell ref="W84:W85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Q84:Q85"/>
    <mergeCell ref="R84:R85"/>
    <mergeCell ref="S84:S85"/>
    <mergeCell ref="T84:T85"/>
    <mergeCell ref="U84:U85"/>
    <mergeCell ref="V84:V85"/>
    <mergeCell ref="K84:K85"/>
    <mergeCell ref="L84:L85"/>
    <mergeCell ref="M84:M85"/>
    <mergeCell ref="N84:N85"/>
    <mergeCell ref="O84:O85"/>
    <mergeCell ref="P84:P85"/>
    <mergeCell ref="R82:R83"/>
    <mergeCell ref="S82:S83"/>
    <mergeCell ref="T82:T83"/>
    <mergeCell ref="U82:U83"/>
    <mergeCell ref="A79:A83"/>
    <mergeCell ref="B79:B83"/>
    <mergeCell ref="C79:C83"/>
    <mergeCell ref="D79:D83"/>
    <mergeCell ref="E79:E83"/>
    <mergeCell ref="F79:F83"/>
    <mergeCell ref="U79:U80"/>
    <mergeCell ref="A84:A88"/>
    <mergeCell ref="B84:B88"/>
    <mergeCell ref="C84:C88"/>
    <mergeCell ref="D84:D88"/>
    <mergeCell ref="E84:E88"/>
    <mergeCell ref="F84:F88"/>
    <mergeCell ref="I84:I85"/>
    <mergeCell ref="J84:J85"/>
    <mergeCell ref="P82:P83"/>
    <mergeCell ref="V79:V80"/>
    <mergeCell ref="W79:W80"/>
    <mergeCell ref="I82:I83"/>
    <mergeCell ref="J82:J83"/>
    <mergeCell ref="K82:K83"/>
    <mergeCell ref="L82:L83"/>
    <mergeCell ref="M82:M83"/>
    <mergeCell ref="N82:N83"/>
    <mergeCell ref="O82:O83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V82:V83"/>
    <mergeCell ref="W82:W83"/>
    <mergeCell ref="Q82:Q83"/>
    <mergeCell ref="R77:R78"/>
    <mergeCell ref="S77:S78"/>
    <mergeCell ref="T77:T78"/>
    <mergeCell ref="U77:U78"/>
    <mergeCell ref="V77:V78"/>
    <mergeCell ref="W77:W78"/>
    <mergeCell ref="W74:W75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Q74:Q75"/>
    <mergeCell ref="R74:R75"/>
    <mergeCell ref="S74:S75"/>
    <mergeCell ref="T74:T75"/>
    <mergeCell ref="U74:U75"/>
    <mergeCell ref="V74:V75"/>
    <mergeCell ref="K74:K75"/>
    <mergeCell ref="L74:L75"/>
    <mergeCell ref="M74:M75"/>
    <mergeCell ref="N74:N75"/>
    <mergeCell ref="O74:O75"/>
    <mergeCell ref="P74:P75"/>
    <mergeCell ref="V72:V73"/>
    <mergeCell ref="W72:W73"/>
    <mergeCell ref="A74:A78"/>
    <mergeCell ref="B74:B78"/>
    <mergeCell ref="C74:C78"/>
    <mergeCell ref="D74:D78"/>
    <mergeCell ref="E74:E78"/>
    <mergeCell ref="F74:F78"/>
    <mergeCell ref="I74:I75"/>
    <mergeCell ref="J74:J75"/>
    <mergeCell ref="P72:P73"/>
    <mergeCell ref="Q72:Q73"/>
    <mergeCell ref="R72:R73"/>
    <mergeCell ref="S72:S73"/>
    <mergeCell ref="T72:T73"/>
    <mergeCell ref="U72:U73"/>
    <mergeCell ref="A69:A73"/>
    <mergeCell ref="B69:B73"/>
    <mergeCell ref="C69:C73"/>
    <mergeCell ref="D69:D73"/>
    <mergeCell ref="U69:U70"/>
    <mergeCell ref="V69:V70"/>
    <mergeCell ref="W69:W70"/>
    <mergeCell ref="I72:I73"/>
    <mergeCell ref="J72:J73"/>
    <mergeCell ref="K72:K73"/>
    <mergeCell ref="L72:L73"/>
    <mergeCell ref="M72:M73"/>
    <mergeCell ref="N72:N73"/>
    <mergeCell ref="O72:O73"/>
    <mergeCell ref="O69:O70"/>
    <mergeCell ref="P69:P70"/>
    <mergeCell ref="Q69:Q70"/>
    <mergeCell ref="R69:R70"/>
    <mergeCell ref="S69:S70"/>
    <mergeCell ref="T69:T70"/>
    <mergeCell ref="I69:I70"/>
    <mergeCell ref="J69:J70"/>
    <mergeCell ref="K69:K70"/>
    <mergeCell ref="L69:L70"/>
    <mergeCell ref="M69:M70"/>
    <mergeCell ref="N69:N70"/>
    <mergeCell ref="E69:E73"/>
    <mergeCell ref="F69:F73"/>
    <mergeCell ref="R67:R68"/>
    <mergeCell ref="S67:S68"/>
    <mergeCell ref="T67:T68"/>
    <mergeCell ref="U67:U68"/>
    <mergeCell ref="V67:V68"/>
    <mergeCell ref="W67:W68"/>
    <mergeCell ref="W64:W65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N64:N65"/>
    <mergeCell ref="O64:O65"/>
    <mergeCell ref="P64:P65"/>
    <mergeCell ref="V62:V63"/>
    <mergeCell ref="W62:W63"/>
    <mergeCell ref="A64:A68"/>
    <mergeCell ref="B64:B68"/>
    <mergeCell ref="C64:C68"/>
    <mergeCell ref="D64:D68"/>
    <mergeCell ref="E64:E68"/>
    <mergeCell ref="F64:F68"/>
    <mergeCell ref="I64:I65"/>
    <mergeCell ref="J64:J65"/>
    <mergeCell ref="P62:P63"/>
    <mergeCell ref="Q62:Q63"/>
    <mergeCell ref="R62:R63"/>
    <mergeCell ref="S62:S63"/>
    <mergeCell ref="T62:T63"/>
    <mergeCell ref="U62:U63"/>
    <mergeCell ref="A59:A63"/>
    <mergeCell ref="B59:B63"/>
    <mergeCell ref="W59:W60"/>
    <mergeCell ref="I62:I63"/>
    <mergeCell ref="J62:J63"/>
    <mergeCell ref="K62:K63"/>
    <mergeCell ref="L62:L63"/>
    <mergeCell ref="M62:M63"/>
    <mergeCell ref="N62:N63"/>
    <mergeCell ref="O62:O63"/>
    <mergeCell ref="O59:O60"/>
    <mergeCell ref="P59:P60"/>
    <mergeCell ref="Q59:Q60"/>
    <mergeCell ref="R59:R60"/>
    <mergeCell ref="S59:S60"/>
    <mergeCell ref="T59:T60"/>
    <mergeCell ref="I59:I60"/>
    <mergeCell ref="J59:J60"/>
    <mergeCell ref="K59:K60"/>
    <mergeCell ref="L59:L60"/>
    <mergeCell ref="M59:M60"/>
    <mergeCell ref="N59:N60"/>
    <mergeCell ref="C59:C63"/>
    <mergeCell ref="D59:D63"/>
    <mergeCell ref="E59:E63"/>
    <mergeCell ref="F59:F63"/>
    <mergeCell ref="R57:R58"/>
    <mergeCell ref="S57:S58"/>
    <mergeCell ref="T57:T58"/>
    <mergeCell ref="U57:U58"/>
    <mergeCell ref="V57:V58"/>
    <mergeCell ref="U59:U60"/>
    <mergeCell ref="V59:V60"/>
    <mergeCell ref="W57:W58"/>
    <mergeCell ref="W54:W55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R52:R53"/>
    <mergeCell ref="S52:S53"/>
    <mergeCell ref="T52:T53"/>
    <mergeCell ref="U52:U53"/>
    <mergeCell ref="A49:A53"/>
    <mergeCell ref="B49:B53"/>
    <mergeCell ref="C49:C53"/>
    <mergeCell ref="D49:D53"/>
    <mergeCell ref="E49:E53"/>
    <mergeCell ref="F49:F53"/>
    <mergeCell ref="U49:U50"/>
    <mergeCell ref="A54:A58"/>
    <mergeCell ref="B54:B58"/>
    <mergeCell ref="C54:C58"/>
    <mergeCell ref="D54:D58"/>
    <mergeCell ref="E54:E58"/>
    <mergeCell ref="F54:F58"/>
    <mergeCell ref="I54:I55"/>
    <mergeCell ref="J54:J55"/>
    <mergeCell ref="P52:P53"/>
    <mergeCell ref="V49:V50"/>
    <mergeCell ref="W49:W50"/>
    <mergeCell ref="I52:I53"/>
    <mergeCell ref="J52:J53"/>
    <mergeCell ref="K52:K53"/>
    <mergeCell ref="L52:L53"/>
    <mergeCell ref="M52:M53"/>
    <mergeCell ref="N52:N53"/>
    <mergeCell ref="O52:O53"/>
    <mergeCell ref="O49:O50"/>
    <mergeCell ref="P49:P50"/>
    <mergeCell ref="Q49:Q50"/>
    <mergeCell ref="R49:R50"/>
    <mergeCell ref="S49:S50"/>
    <mergeCell ref="T49:T50"/>
    <mergeCell ref="I49:I50"/>
    <mergeCell ref="J49:J50"/>
    <mergeCell ref="K49:K50"/>
    <mergeCell ref="L49:L50"/>
    <mergeCell ref="M49:M50"/>
    <mergeCell ref="N49:N50"/>
    <mergeCell ref="V52:V53"/>
    <mergeCell ref="W52:W53"/>
    <mergeCell ref="Q52:Q53"/>
    <mergeCell ref="R47:R48"/>
    <mergeCell ref="S47:S48"/>
    <mergeCell ref="T47:T48"/>
    <mergeCell ref="U47:U48"/>
    <mergeCell ref="V47:V48"/>
    <mergeCell ref="W47:W48"/>
    <mergeCell ref="W44:W45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Q44:Q45"/>
    <mergeCell ref="R44:R45"/>
    <mergeCell ref="S44:S45"/>
    <mergeCell ref="T44:T45"/>
    <mergeCell ref="U44:U45"/>
    <mergeCell ref="V44:V45"/>
    <mergeCell ref="K44:K45"/>
    <mergeCell ref="L44:L45"/>
    <mergeCell ref="M44:M45"/>
    <mergeCell ref="N44:N45"/>
    <mergeCell ref="O44:O45"/>
    <mergeCell ref="P44:P45"/>
    <mergeCell ref="V42:V43"/>
    <mergeCell ref="W42:W43"/>
    <mergeCell ref="A44:A48"/>
    <mergeCell ref="B44:B48"/>
    <mergeCell ref="C44:C48"/>
    <mergeCell ref="D44:D48"/>
    <mergeCell ref="E44:E48"/>
    <mergeCell ref="F44:F48"/>
    <mergeCell ref="I44:I45"/>
    <mergeCell ref="J44:J45"/>
    <mergeCell ref="P42:P43"/>
    <mergeCell ref="Q42:Q43"/>
    <mergeCell ref="R42:R43"/>
    <mergeCell ref="S42:S43"/>
    <mergeCell ref="T42:T43"/>
    <mergeCell ref="U42:U43"/>
    <mergeCell ref="A39:A43"/>
    <mergeCell ref="B39:B43"/>
    <mergeCell ref="C39:C43"/>
    <mergeCell ref="D39:D43"/>
    <mergeCell ref="U39:U40"/>
    <mergeCell ref="V39:V40"/>
    <mergeCell ref="W39:W40"/>
    <mergeCell ref="I42:I43"/>
    <mergeCell ref="J42:J43"/>
    <mergeCell ref="K42:K43"/>
    <mergeCell ref="L42:L43"/>
    <mergeCell ref="M42:M43"/>
    <mergeCell ref="N42:N43"/>
    <mergeCell ref="O42:O43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E39:E43"/>
    <mergeCell ref="F39:F43"/>
    <mergeCell ref="R37:R38"/>
    <mergeCell ref="S37:S38"/>
    <mergeCell ref="T37:T38"/>
    <mergeCell ref="U37:U38"/>
    <mergeCell ref="V37:V38"/>
    <mergeCell ref="W37:W38"/>
    <mergeCell ref="W34:W35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2:V33"/>
    <mergeCell ref="W32:W33"/>
    <mergeCell ref="A34:A38"/>
    <mergeCell ref="B34:B38"/>
    <mergeCell ref="C34:C38"/>
    <mergeCell ref="D34:D38"/>
    <mergeCell ref="E34:E38"/>
    <mergeCell ref="F34:F38"/>
    <mergeCell ref="I34:I35"/>
    <mergeCell ref="J34:J35"/>
    <mergeCell ref="P32:P33"/>
    <mergeCell ref="Q32:Q33"/>
    <mergeCell ref="R32:R33"/>
    <mergeCell ref="S32:S33"/>
    <mergeCell ref="T32:T33"/>
    <mergeCell ref="U32:U33"/>
    <mergeCell ref="A29:A33"/>
    <mergeCell ref="B29:B33"/>
    <mergeCell ref="W29:W30"/>
    <mergeCell ref="I32:I33"/>
    <mergeCell ref="J32:J33"/>
    <mergeCell ref="K32:K33"/>
    <mergeCell ref="L32:L33"/>
    <mergeCell ref="M32:M33"/>
    <mergeCell ref="N32:N33"/>
    <mergeCell ref="O32:O33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C29:C33"/>
    <mergeCell ref="D29:D33"/>
    <mergeCell ref="E29:E33"/>
    <mergeCell ref="F29:F33"/>
    <mergeCell ref="R27:R28"/>
    <mergeCell ref="S27:S28"/>
    <mergeCell ref="T27:T28"/>
    <mergeCell ref="U27:U28"/>
    <mergeCell ref="V27:V28"/>
    <mergeCell ref="U29:U30"/>
    <mergeCell ref="V29:V30"/>
    <mergeCell ref="W27:W28"/>
    <mergeCell ref="W24:W25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P24:P25"/>
    <mergeCell ref="R22:R23"/>
    <mergeCell ref="S22:S23"/>
    <mergeCell ref="T22:T23"/>
    <mergeCell ref="U22:U23"/>
    <mergeCell ref="A19:A23"/>
    <mergeCell ref="B19:B23"/>
    <mergeCell ref="C19:C23"/>
    <mergeCell ref="D19:D23"/>
    <mergeCell ref="E19:E23"/>
    <mergeCell ref="F19:F23"/>
    <mergeCell ref="U19:U20"/>
    <mergeCell ref="A24:A28"/>
    <mergeCell ref="B24:B28"/>
    <mergeCell ref="C24:C28"/>
    <mergeCell ref="D24:D28"/>
    <mergeCell ref="E24:E28"/>
    <mergeCell ref="F24:F28"/>
    <mergeCell ref="I24:I25"/>
    <mergeCell ref="J24:J25"/>
    <mergeCell ref="P22:P23"/>
    <mergeCell ref="V19:V20"/>
    <mergeCell ref="W19:W20"/>
    <mergeCell ref="I22:I23"/>
    <mergeCell ref="J22:J23"/>
    <mergeCell ref="K22:K23"/>
    <mergeCell ref="L22:L23"/>
    <mergeCell ref="M22:M23"/>
    <mergeCell ref="N22:N23"/>
    <mergeCell ref="O22:O23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V22:V23"/>
    <mergeCell ref="W22:W23"/>
    <mergeCell ref="Q22:Q23"/>
    <mergeCell ref="A16:W16"/>
    <mergeCell ref="A17:W17"/>
    <mergeCell ref="A18:W18"/>
    <mergeCell ref="U12:W12"/>
    <mergeCell ref="K13:K14"/>
    <mergeCell ref="L13:L14"/>
    <mergeCell ref="M13:M14"/>
    <mergeCell ref="O13:O14"/>
    <mergeCell ref="P13:P14"/>
    <mergeCell ref="Q13:Q14"/>
    <mergeCell ref="R13:R14"/>
    <mergeCell ref="S13:S14"/>
    <mergeCell ref="T13:T14"/>
    <mergeCell ref="T1:V1"/>
    <mergeCell ref="T2:V2"/>
    <mergeCell ref="T3:V3"/>
    <mergeCell ref="A6:W6"/>
    <mergeCell ref="A9:A14"/>
    <mergeCell ref="B9:B14"/>
    <mergeCell ref="C9:C14"/>
    <mergeCell ref="D9:D14"/>
    <mergeCell ref="E9:E14"/>
    <mergeCell ref="F9:F14"/>
    <mergeCell ref="G9:G10"/>
    <mergeCell ref="H9:H10"/>
    <mergeCell ref="I9:I14"/>
    <mergeCell ref="J9:W10"/>
    <mergeCell ref="J11:J14"/>
    <mergeCell ref="K11:M12"/>
    <mergeCell ref="N11:N14"/>
    <mergeCell ref="O11:W11"/>
    <mergeCell ref="O12:Q12"/>
    <mergeCell ref="R12:T12"/>
    <mergeCell ref="U13:U14"/>
    <mergeCell ref="V13:V14"/>
    <mergeCell ref="W13:W14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5" orientation="landscape" copies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50"/>
  <sheetViews>
    <sheetView view="pageBreakPreview" zoomScaleNormal="100" zoomScaleSheetLayoutView="100" workbookViewId="0">
      <selection activeCell="E35" sqref="E35:E37"/>
    </sheetView>
  </sheetViews>
  <sheetFormatPr defaultColWidth="9" defaultRowHeight="12.75"/>
  <cols>
    <col min="1" max="1" width="4.125" style="85" customWidth="1"/>
    <col min="2" max="2" width="6.25" style="86" customWidth="1"/>
    <col min="3" max="3" width="8.375" style="86" customWidth="1"/>
    <col min="4" max="4" width="38.5" style="86" customWidth="1"/>
    <col min="5" max="5" width="10.25" style="86" customWidth="1"/>
    <col min="6" max="6" width="2.25" style="86" customWidth="1"/>
    <col min="7" max="7" width="11.875" style="86" customWidth="1"/>
    <col min="8" max="8" width="11.75" style="86" customWidth="1"/>
    <col min="9" max="9" width="12.125" style="86" customWidth="1"/>
    <col min="10" max="10" width="12.875" style="86" customWidth="1"/>
    <col min="11" max="11" width="12" style="86" customWidth="1"/>
    <col min="12" max="12" width="30.25" style="86" customWidth="1"/>
    <col min="13" max="16384" width="9" style="86"/>
  </cols>
  <sheetData>
    <row r="1" spans="1:16" ht="13.15" customHeight="1">
      <c r="K1" s="4" t="s">
        <v>426</v>
      </c>
      <c r="L1" s="3"/>
    </row>
    <row r="2" spans="1:16" s="91" customFormat="1" ht="13.1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4" t="s">
        <v>1167</v>
      </c>
      <c r="L2" s="90"/>
    </row>
    <row r="3" spans="1:16" s="91" customFormat="1" ht="13.1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4" t="s">
        <v>843</v>
      </c>
      <c r="L3" s="90"/>
    </row>
    <row r="4" spans="1:16" s="91" customFormat="1" ht="10.1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6" s="88" customFormat="1" ht="36" customHeight="1">
      <c r="A5" s="1087" t="s">
        <v>348</v>
      </c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87"/>
      <c r="N5" s="87"/>
      <c r="O5" s="87"/>
      <c r="P5" s="87"/>
    </row>
    <row r="6" spans="1:16" s="91" customFormat="1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6" ht="13.15" customHeight="1">
      <c r="G7" s="92"/>
      <c r="L7" s="85" t="s">
        <v>0</v>
      </c>
    </row>
    <row r="8" spans="1:16" s="93" customFormat="1" ht="12.75" customHeight="1">
      <c r="A8" s="1088" t="s">
        <v>219</v>
      </c>
      <c r="B8" s="1088" t="s">
        <v>1</v>
      </c>
      <c r="C8" s="1088" t="s">
        <v>8</v>
      </c>
      <c r="D8" s="1088" t="s">
        <v>223</v>
      </c>
      <c r="E8" s="1088" t="s">
        <v>224</v>
      </c>
      <c r="F8" s="1091" t="s">
        <v>11</v>
      </c>
      <c r="G8" s="1088" t="s">
        <v>225</v>
      </c>
      <c r="H8" s="1088" t="s">
        <v>226</v>
      </c>
      <c r="I8" s="1089" t="s">
        <v>227</v>
      </c>
      <c r="J8" s="1089"/>
      <c r="K8" s="1089"/>
      <c r="L8" s="1088" t="s">
        <v>228</v>
      </c>
    </row>
    <row r="9" spans="1:16" s="93" customFormat="1" ht="12.75" customHeight="1">
      <c r="A9" s="1088"/>
      <c r="B9" s="1088"/>
      <c r="C9" s="1088"/>
      <c r="D9" s="1088"/>
      <c r="E9" s="1088"/>
      <c r="F9" s="1092"/>
      <c r="G9" s="1088"/>
      <c r="H9" s="1088"/>
      <c r="I9" s="1088" t="s">
        <v>229</v>
      </c>
      <c r="J9" s="1090" t="s">
        <v>230</v>
      </c>
      <c r="K9" s="1090"/>
      <c r="L9" s="1088"/>
    </row>
    <row r="10" spans="1:16" s="93" customFormat="1" ht="12.75" customHeight="1">
      <c r="A10" s="1088"/>
      <c r="B10" s="1088"/>
      <c r="C10" s="1088"/>
      <c r="D10" s="1088"/>
      <c r="E10" s="1088"/>
      <c r="F10" s="1092"/>
      <c r="G10" s="1088"/>
      <c r="H10" s="1088"/>
      <c r="I10" s="1088"/>
      <c r="J10" s="1088" t="s">
        <v>231</v>
      </c>
      <c r="K10" s="1088" t="s">
        <v>232</v>
      </c>
      <c r="L10" s="1088"/>
    </row>
    <row r="11" spans="1:16" s="94" customFormat="1" ht="37.15" customHeight="1">
      <c r="A11" s="1088"/>
      <c r="B11" s="1088"/>
      <c r="C11" s="1088"/>
      <c r="D11" s="1088"/>
      <c r="E11" s="1088"/>
      <c r="F11" s="1093"/>
      <c r="G11" s="1088"/>
      <c r="H11" s="1088"/>
      <c r="I11" s="1088"/>
      <c r="J11" s="1088"/>
      <c r="K11" s="1088"/>
      <c r="L11" s="1088"/>
    </row>
    <row r="12" spans="1:16" s="96" customFormat="1">
      <c r="A12" s="95">
        <v>1</v>
      </c>
      <c r="B12" s="95">
        <v>2</v>
      </c>
      <c r="C12" s="95">
        <v>3</v>
      </c>
      <c r="D12" s="95">
        <v>4</v>
      </c>
      <c r="E12" s="95">
        <v>5</v>
      </c>
      <c r="F12" s="95"/>
      <c r="G12" s="95">
        <v>6</v>
      </c>
      <c r="H12" s="95">
        <v>7</v>
      </c>
      <c r="I12" s="95">
        <v>8</v>
      </c>
      <c r="J12" s="95">
        <v>9</v>
      </c>
      <c r="K12" s="95">
        <v>10</v>
      </c>
      <c r="L12" s="95">
        <v>11</v>
      </c>
    </row>
    <row r="13" spans="1:16" ht="5.0999999999999996" customHeight="1">
      <c r="A13" s="97"/>
      <c r="B13" s="98"/>
      <c r="C13" s="98"/>
      <c r="D13" s="98"/>
      <c r="E13" s="98"/>
      <c r="F13" s="97"/>
      <c r="G13" s="98"/>
      <c r="H13" s="98"/>
      <c r="I13" s="98"/>
      <c r="J13" s="98"/>
      <c r="K13" s="97"/>
      <c r="L13" s="98"/>
    </row>
    <row r="14" spans="1:16" s="100" customFormat="1" ht="16.5">
      <c r="A14" s="1077"/>
      <c r="B14" s="1077"/>
      <c r="C14" s="1077"/>
      <c r="D14" s="1103" t="s">
        <v>12</v>
      </c>
      <c r="E14" s="1077" t="s">
        <v>220</v>
      </c>
      <c r="F14" s="804" t="s">
        <v>13</v>
      </c>
      <c r="G14" s="1077" t="s">
        <v>220</v>
      </c>
      <c r="H14" s="1077" t="s">
        <v>220</v>
      </c>
      <c r="I14" s="99">
        <f t="shared" ref="I14:K15" si="0">I186+I328+I334+I340</f>
        <v>509710895</v>
      </c>
      <c r="J14" s="99">
        <f t="shared" si="0"/>
        <v>149504353</v>
      </c>
      <c r="K14" s="99">
        <f t="shared" si="0"/>
        <v>360206542</v>
      </c>
      <c r="L14" s="1077" t="s">
        <v>220</v>
      </c>
    </row>
    <row r="15" spans="1:16" s="100" customFormat="1" ht="16.5">
      <c r="A15" s="1078"/>
      <c r="B15" s="1078"/>
      <c r="C15" s="1078"/>
      <c r="D15" s="1104"/>
      <c r="E15" s="1078"/>
      <c r="F15" s="804" t="s">
        <v>14</v>
      </c>
      <c r="G15" s="1078"/>
      <c r="H15" s="1078"/>
      <c r="I15" s="99">
        <f t="shared" si="0"/>
        <v>122129984</v>
      </c>
      <c r="J15" s="99">
        <f t="shared" si="0"/>
        <v>51179268</v>
      </c>
      <c r="K15" s="99">
        <f t="shared" si="0"/>
        <v>70950716</v>
      </c>
      <c r="L15" s="1078"/>
    </row>
    <row r="16" spans="1:16" s="100" customFormat="1" ht="16.5">
      <c r="A16" s="1079"/>
      <c r="B16" s="1079"/>
      <c r="C16" s="1079"/>
      <c r="D16" s="1105"/>
      <c r="E16" s="1079"/>
      <c r="F16" s="804" t="s">
        <v>15</v>
      </c>
      <c r="G16" s="1079"/>
      <c r="H16" s="1079"/>
      <c r="I16" s="99">
        <f>I14+I15</f>
        <v>631840879</v>
      </c>
      <c r="J16" s="99">
        <f>J14+J15</f>
        <v>200683621</v>
      </c>
      <c r="K16" s="99">
        <f>K14+K15</f>
        <v>431157258</v>
      </c>
      <c r="L16" s="1079"/>
    </row>
    <row r="17" spans="1:12" ht="5.0999999999999996" customHeight="1">
      <c r="A17" s="97"/>
      <c r="B17" s="98"/>
      <c r="C17" s="98"/>
      <c r="D17" s="101"/>
      <c r="E17" s="102"/>
      <c r="F17" s="103"/>
      <c r="G17" s="98"/>
      <c r="H17" s="98"/>
      <c r="I17" s="98"/>
      <c r="J17" s="98"/>
      <c r="K17" s="97"/>
      <c r="L17" s="98"/>
    </row>
    <row r="18" spans="1:12" s="104" customFormat="1" ht="21.6" customHeight="1">
      <c r="A18" s="801" t="s">
        <v>233</v>
      </c>
      <c r="B18" s="1065" t="s">
        <v>234</v>
      </c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</row>
    <row r="19" spans="1:12" ht="5.0999999999999996" customHeight="1">
      <c r="A19" s="97"/>
      <c r="B19" s="105"/>
      <c r="C19" s="105"/>
      <c r="D19" s="98"/>
      <c r="E19" s="98"/>
      <c r="F19" s="97"/>
      <c r="G19" s="98"/>
      <c r="H19" s="98"/>
      <c r="I19" s="98"/>
      <c r="J19" s="98"/>
      <c r="K19" s="97"/>
      <c r="L19" s="98"/>
    </row>
    <row r="20" spans="1:12" s="107" customFormat="1" hidden="1">
      <c r="A20" s="1061"/>
      <c r="B20" s="1094" t="s">
        <v>16</v>
      </c>
      <c r="C20" s="1094"/>
      <c r="D20" s="1097" t="s">
        <v>17</v>
      </c>
      <c r="E20" s="1061" t="s">
        <v>220</v>
      </c>
      <c r="F20" s="802" t="s">
        <v>13</v>
      </c>
      <c r="G20" s="106">
        <f>G23</f>
        <v>7483839</v>
      </c>
      <c r="H20" s="1100" t="s">
        <v>220</v>
      </c>
      <c r="I20" s="106">
        <f t="shared" ref="I20:K21" si="1">I23</f>
        <v>7483839</v>
      </c>
      <c r="J20" s="106">
        <f t="shared" si="1"/>
        <v>7483839</v>
      </c>
      <c r="K20" s="106">
        <f t="shared" si="1"/>
        <v>0</v>
      </c>
      <c r="L20" s="1061" t="s">
        <v>220</v>
      </c>
    </row>
    <row r="21" spans="1:12" s="107" customFormat="1" hidden="1">
      <c r="A21" s="1062"/>
      <c r="B21" s="1095"/>
      <c r="C21" s="1095"/>
      <c r="D21" s="1098"/>
      <c r="E21" s="1062"/>
      <c r="F21" s="802" t="s">
        <v>14</v>
      </c>
      <c r="G21" s="106">
        <f>G24</f>
        <v>0</v>
      </c>
      <c r="H21" s="1101"/>
      <c r="I21" s="106">
        <f t="shared" si="1"/>
        <v>0</v>
      </c>
      <c r="J21" s="106">
        <f t="shared" si="1"/>
        <v>0</v>
      </c>
      <c r="K21" s="106">
        <f t="shared" si="1"/>
        <v>0</v>
      </c>
      <c r="L21" s="1062"/>
    </row>
    <row r="22" spans="1:12" s="107" customFormat="1" hidden="1">
      <c r="A22" s="1063"/>
      <c r="B22" s="1096"/>
      <c r="C22" s="1096"/>
      <c r="D22" s="1099"/>
      <c r="E22" s="1063"/>
      <c r="F22" s="802" t="s">
        <v>15</v>
      </c>
      <c r="G22" s="106">
        <f>G20+G21</f>
        <v>7483839</v>
      </c>
      <c r="H22" s="1102"/>
      <c r="I22" s="106">
        <f>I20+I21</f>
        <v>7483839</v>
      </c>
      <c r="J22" s="106">
        <f>J20+J21</f>
        <v>7483839</v>
      </c>
      <c r="K22" s="106">
        <f>K20+K21</f>
        <v>0</v>
      </c>
      <c r="L22" s="1063"/>
    </row>
    <row r="23" spans="1:12" s="89" customFormat="1" ht="20.45" hidden="1" customHeight="1">
      <c r="A23" s="1047">
        <v>1</v>
      </c>
      <c r="B23" s="1050"/>
      <c r="C23" s="1050" t="s">
        <v>18</v>
      </c>
      <c r="D23" s="1044" t="s">
        <v>235</v>
      </c>
      <c r="E23" s="1047">
        <v>2021</v>
      </c>
      <c r="F23" s="799" t="s">
        <v>13</v>
      </c>
      <c r="G23" s="108">
        <v>7483839</v>
      </c>
      <c r="H23" s="1053" t="s">
        <v>220</v>
      </c>
      <c r="I23" s="108">
        <f>J23+K23</f>
        <v>7483839</v>
      </c>
      <c r="J23" s="108">
        <v>7483839</v>
      </c>
      <c r="K23" s="108">
        <v>0</v>
      </c>
      <c r="L23" s="1044" t="s">
        <v>236</v>
      </c>
    </row>
    <row r="24" spans="1:12" s="89" customFormat="1" ht="20.45" hidden="1" customHeight="1">
      <c r="A24" s="1048"/>
      <c r="B24" s="1051"/>
      <c r="C24" s="1051"/>
      <c r="D24" s="1045"/>
      <c r="E24" s="1048"/>
      <c r="F24" s="799" t="s">
        <v>14</v>
      </c>
      <c r="G24" s="108"/>
      <c r="H24" s="1054"/>
      <c r="I24" s="108">
        <f>J24+K24</f>
        <v>0</v>
      </c>
      <c r="J24" s="108"/>
      <c r="K24" s="108"/>
      <c r="L24" s="1045"/>
    </row>
    <row r="25" spans="1:12" s="89" customFormat="1" ht="20.45" hidden="1" customHeight="1">
      <c r="A25" s="1049"/>
      <c r="B25" s="1052"/>
      <c r="C25" s="1052"/>
      <c r="D25" s="1046"/>
      <c r="E25" s="1049"/>
      <c r="F25" s="799" t="s">
        <v>15</v>
      </c>
      <c r="G25" s="108">
        <f>G23+G24</f>
        <v>7483839</v>
      </c>
      <c r="H25" s="1055"/>
      <c r="I25" s="108">
        <f>I23+I24</f>
        <v>7483839</v>
      </c>
      <c r="J25" s="108">
        <f>J23+J24</f>
        <v>7483839</v>
      </c>
      <c r="K25" s="108">
        <f>K23+K24</f>
        <v>0</v>
      </c>
      <c r="L25" s="1046"/>
    </row>
    <row r="26" spans="1:12" s="107" customFormat="1">
      <c r="A26" s="1061"/>
      <c r="B26" s="1094" t="s">
        <v>19</v>
      </c>
      <c r="C26" s="1094"/>
      <c r="D26" s="1097" t="s">
        <v>20</v>
      </c>
      <c r="E26" s="1061" t="s">
        <v>220</v>
      </c>
      <c r="F26" s="802" t="s">
        <v>13</v>
      </c>
      <c r="G26" s="106">
        <f>G32+G35+G38+G41+G44+G47+G50+G29</f>
        <v>46900000</v>
      </c>
      <c r="H26" s="1100" t="s">
        <v>220</v>
      </c>
      <c r="I26" s="106">
        <f t="shared" ref="I26:K27" si="2">I32+I35+I38+I41+I44+I47+I50+I29</f>
        <v>46900000</v>
      </c>
      <c r="J26" s="106">
        <f t="shared" si="2"/>
        <v>46900000</v>
      </c>
      <c r="K26" s="106">
        <f t="shared" si="2"/>
        <v>0</v>
      </c>
      <c r="L26" s="1061" t="s">
        <v>220</v>
      </c>
    </row>
    <row r="27" spans="1:12" s="107" customFormat="1">
      <c r="A27" s="1062"/>
      <c r="B27" s="1095"/>
      <c r="C27" s="1095"/>
      <c r="D27" s="1098"/>
      <c r="E27" s="1062"/>
      <c r="F27" s="802" t="s">
        <v>14</v>
      </c>
      <c r="G27" s="106">
        <f>G33+G36+G39+G42+G45+G48+G51+G30</f>
        <v>2770000</v>
      </c>
      <c r="H27" s="1101"/>
      <c r="I27" s="106">
        <f t="shared" si="2"/>
        <v>2770000</v>
      </c>
      <c r="J27" s="106">
        <f t="shared" si="2"/>
        <v>2770000</v>
      </c>
      <c r="K27" s="106">
        <f t="shared" si="2"/>
        <v>0</v>
      </c>
      <c r="L27" s="1062"/>
    </row>
    <row r="28" spans="1:12" s="107" customFormat="1">
      <c r="A28" s="1063"/>
      <c r="B28" s="1096"/>
      <c r="C28" s="1096"/>
      <c r="D28" s="1099"/>
      <c r="E28" s="1063"/>
      <c r="F28" s="802" t="s">
        <v>15</v>
      </c>
      <c r="G28" s="106">
        <f>G26+G27</f>
        <v>49670000</v>
      </c>
      <c r="H28" s="1102"/>
      <c r="I28" s="106">
        <f>I26+I27</f>
        <v>49670000</v>
      </c>
      <c r="J28" s="106">
        <f>J26+J27</f>
        <v>49670000</v>
      </c>
      <c r="K28" s="106">
        <f>K26+K27</f>
        <v>0</v>
      </c>
      <c r="L28" s="1063"/>
    </row>
    <row r="29" spans="1:12" s="89" customFormat="1" ht="13.15" customHeight="1">
      <c r="A29" s="1047">
        <v>1</v>
      </c>
      <c r="B29" s="1050"/>
      <c r="C29" s="1050" t="s">
        <v>106</v>
      </c>
      <c r="D29" s="1044" t="s">
        <v>425</v>
      </c>
      <c r="E29" s="1047">
        <v>2021</v>
      </c>
      <c r="F29" s="799" t="s">
        <v>13</v>
      </c>
      <c r="G29" s="108">
        <v>0</v>
      </c>
      <c r="H29" s="1053" t="s">
        <v>220</v>
      </c>
      <c r="I29" s="108">
        <f>J29+K29</f>
        <v>0</v>
      </c>
      <c r="J29" s="108">
        <v>0</v>
      </c>
      <c r="K29" s="108">
        <v>0</v>
      </c>
      <c r="L29" s="1044" t="s">
        <v>236</v>
      </c>
    </row>
    <row r="30" spans="1:12" s="89" customFormat="1">
      <c r="A30" s="1048"/>
      <c r="B30" s="1051"/>
      <c r="C30" s="1051"/>
      <c r="D30" s="1045"/>
      <c r="E30" s="1048"/>
      <c r="F30" s="799" t="s">
        <v>14</v>
      </c>
      <c r="G30" s="108">
        <v>11070000</v>
      </c>
      <c r="H30" s="1054"/>
      <c r="I30" s="108">
        <f>J30+K30</f>
        <v>11070000</v>
      </c>
      <c r="J30" s="108">
        <v>11070000</v>
      </c>
      <c r="K30" s="108"/>
      <c r="L30" s="1045"/>
    </row>
    <row r="31" spans="1:12" s="89" customFormat="1">
      <c r="A31" s="1049"/>
      <c r="B31" s="1052"/>
      <c r="C31" s="1052"/>
      <c r="D31" s="1046"/>
      <c r="E31" s="1049"/>
      <c r="F31" s="799" t="s">
        <v>15</v>
      </c>
      <c r="G31" s="108">
        <f>G29+G30</f>
        <v>11070000</v>
      </c>
      <c r="H31" s="1055"/>
      <c r="I31" s="108">
        <f>I29+I30</f>
        <v>11070000</v>
      </c>
      <c r="J31" s="108">
        <f>J29+J30</f>
        <v>11070000</v>
      </c>
      <c r="K31" s="108">
        <f>K29+K30</f>
        <v>0</v>
      </c>
      <c r="L31" s="1046"/>
    </row>
    <row r="32" spans="1:12" s="89" customFormat="1" hidden="1">
      <c r="A32" s="1047">
        <v>2</v>
      </c>
      <c r="B32" s="1050"/>
      <c r="C32" s="1050" t="s">
        <v>21</v>
      </c>
      <c r="D32" s="1044" t="s">
        <v>237</v>
      </c>
      <c r="E32" s="1047">
        <v>2021</v>
      </c>
      <c r="F32" s="799" t="s">
        <v>13</v>
      </c>
      <c r="G32" s="108">
        <v>11000000</v>
      </c>
      <c r="H32" s="1053" t="s">
        <v>220</v>
      </c>
      <c r="I32" s="108">
        <f t="shared" ref="I32:I51" si="3">J32+K32</f>
        <v>11000000</v>
      </c>
      <c r="J32" s="108">
        <v>11000000</v>
      </c>
      <c r="K32" s="108">
        <v>0</v>
      </c>
      <c r="L32" s="1044" t="s">
        <v>238</v>
      </c>
    </row>
    <row r="33" spans="1:12" s="89" customFormat="1" hidden="1">
      <c r="A33" s="1048"/>
      <c r="B33" s="1051"/>
      <c r="C33" s="1051"/>
      <c r="D33" s="1045"/>
      <c r="E33" s="1048"/>
      <c r="F33" s="799" t="s">
        <v>14</v>
      </c>
      <c r="G33" s="108"/>
      <c r="H33" s="1054"/>
      <c r="I33" s="108">
        <f t="shared" si="3"/>
        <v>0</v>
      </c>
      <c r="J33" s="108"/>
      <c r="K33" s="108"/>
      <c r="L33" s="1045"/>
    </row>
    <row r="34" spans="1:12" s="89" customFormat="1" hidden="1">
      <c r="A34" s="1049"/>
      <c r="B34" s="1052"/>
      <c r="C34" s="1052"/>
      <c r="D34" s="1046"/>
      <c r="E34" s="1049"/>
      <c r="F34" s="799" t="s">
        <v>15</v>
      </c>
      <c r="G34" s="108">
        <f>G32+G33</f>
        <v>11000000</v>
      </c>
      <c r="H34" s="1055"/>
      <c r="I34" s="108">
        <f>I32+I33</f>
        <v>11000000</v>
      </c>
      <c r="J34" s="108">
        <f>J32+J33</f>
        <v>11000000</v>
      </c>
      <c r="K34" s="108">
        <f>K32+K33</f>
        <v>0</v>
      </c>
      <c r="L34" s="1046"/>
    </row>
    <row r="35" spans="1:12" s="89" customFormat="1">
      <c r="A35" s="1047">
        <v>2</v>
      </c>
      <c r="B35" s="1050"/>
      <c r="C35" s="1050" t="s">
        <v>21</v>
      </c>
      <c r="D35" s="1044" t="s">
        <v>239</v>
      </c>
      <c r="E35" s="1047">
        <v>2021</v>
      </c>
      <c r="F35" s="799" t="s">
        <v>13</v>
      </c>
      <c r="G35" s="108">
        <v>3000000</v>
      </c>
      <c r="H35" s="1053" t="s">
        <v>220</v>
      </c>
      <c r="I35" s="108">
        <f t="shared" si="3"/>
        <v>3000000</v>
      </c>
      <c r="J35" s="108">
        <v>3000000</v>
      </c>
      <c r="K35" s="108">
        <v>0</v>
      </c>
      <c r="L35" s="1044" t="s">
        <v>238</v>
      </c>
    </row>
    <row r="36" spans="1:12" s="89" customFormat="1">
      <c r="A36" s="1048"/>
      <c r="B36" s="1051"/>
      <c r="C36" s="1051"/>
      <c r="D36" s="1045"/>
      <c r="E36" s="1048"/>
      <c r="F36" s="799" t="s">
        <v>14</v>
      </c>
      <c r="G36" s="108">
        <v>1500000</v>
      </c>
      <c r="H36" s="1054"/>
      <c r="I36" s="108">
        <f t="shared" si="3"/>
        <v>1500000</v>
      </c>
      <c r="J36" s="108">
        <v>1500000</v>
      </c>
      <c r="K36" s="108"/>
      <c r="L36" s="1045"/>
    </row>
    <row r="37" spans="1:12" s="89" customFormat="1">
      <c r="A37" s="1049"/>
      <c r="B37" s="1052"/>
      <c r="C37" s="1052"/>
      <c r="D37" s="1046"/>
      <c r="E37" s="1049"/>
      <c r="F37" s="799" t="s">
        <v>15</v>
      </c>
      <c r="G37" s="108">
        <f>G35+G36</f>
        <v>4500000</v>
      </c>
      <c r="H37" s="1055"/>
      <c r="I37" s="108">
        <f>I35+I36</f>
        <v>4500000</v>
      </c>
      <c r="J37" s="108">
        <f>J35+J36</f>
        <v>4500000</v>
      </c>
      <c r="K37" s="108">
        <f>K35+K36</f>
        <v>0</v>
      </c>
      <c r="L37" s="1046"/>
    </row>
    <row r="38" spans="1:12" s="89" customFormat="1" hidden="1">
      <c r="A38" s="1047">
        <v>4</v>
      </c>
      <c r="B38" s="1050"/>
      <c r="C38" s="1050" t="s">
        <v>21</v>
      </c>
      <c r="D38" s="1044" t="s">
        <v>240</v>
      </c>
      <c r="E38" s="1047">
        <v>2021</v>
      </c>
      <c r="F38" s="799" t="s">
        <v>13</v>
      </c>
      <c r="G38" s="108">
        <v>1500000</v>
      </c>
      <c r="H38" s="1053" t="s">
        <v>220</v>
      </c>
      <c r="I38" s="108">
        <f t="shared" si="3"/>
        <v>1500000</v>
      </c>
      <c r="J38" s="108">
        <v>1500000</v>
      </c>
      <c r="K38" s="108">
        <v>0</v>
      </c>
      <c r="L38" s="1044" t="s">
        <v>238</v>
      </c>
    </row>
    <row r="39" spans="1:12" s="89" customFormat="1" hidden="1">
      <c r="A39" s="1048"/>
      <c r="B39" s="1051"/>
      <c r="C39" s="1051"/>
      <c r="D39" s="1045"/>
      <c r="E39" s="1048"/>
      <c r="F39" s="799" t="s">
        <v>14</v>
      </c>
      <c r="G39" s="108"/>
      <c r="H39" s="1054"/>
      <c r="I39" s="108">
        <f t="shared" si="3"/>
        <v>0</v>
      </c>
      <c r="J39" s="108"/>
      <c r="K39" s="108"/>
      <c r="L39" s="1045"/>
    </row>
    <row r="40" spans="1:12" s="89" customFormat="1" hidden="1">
      <c r="A40" s="1049"/>
      <c r="B40" s="1052"/>
      <c r="C40" s="1052"/>
      <c r="D40" s="1046"/>
      <c r="E40" s="1049"/>
      <c r="F40" s="799" t="s">
        <v>15</v>
      </c>
      <c r="G40" s="108">
        <f>G38+G39</f>
        <v>1500000</v>
      </c>
      <c r="H40" s="1055"/>
      <c r="I40" s="108">
        <f>I38+I39</f>
        <v>1500000</v>
      </c>
      <c r="J40" s="108">
        <f>J38+J39</f>
        <v>1500000</v>
      </c>
      <c r="K40" s="108">
        <f>K38+K39</f>
        <v>0</v>
      </c>
      <c r="L40" s="1046"/>
    </row>
    <row r="41" spans="1:12" s="89" customFormat="1" hidden="1">
      <c r="A41" s="1047">
        <v>5</v>
      </c>
      <c r="B41" s="1050"/>
      <c r="C41" s="1050" t="s">
        <v>21</v>
      </c>
      <c r="D41" s="1044" t="s">
        <v>241</v>
      </c>
      <c r="E41" s="1047">
        <v>2021</v>
      </c>
      <c r="F41" s="799" t="s">
        <v>13</v>
      </c>
      <c r="G41" s="108">
        <v>10000000</v>
      </c>
      <c r="H41" s="1053" t="s">
        <v>220</v>
      </c>
      <c r="I41" s="108">
        <f t="shared" si="3"/>
        <v>10000000</v>
      </c>
      <c r="J41" s="108">
        <v>10000000</v>
      </c>
      <c r="K41" s="108">
        <v>0</v>
      </c>
      <c r="L41" s="1044" t="s">
        <v>238</v>
      </c>
    </row>
    <row r="42" spans="1:12" s="89" customFormat="1" hidden="1">
      <c r="A42" s="1048"/>
      <c r="B42" s="1051"/>
      <c r="C42" s="1051"/>
      <c r="D42" s="1045"/>
      <c r="E42" s="1048"/>
      <c r="F42" s="799" t="s">
        <v>14</v>
      </c>
      <c r="G42" s="108"/>
      <c r="H42" s="1054"/>
      <c r="I42" s="108">
        <f t="shared" si="3"/>
        <v>0</v>
      </c>
      <c r="J42" s="108"/>
      <c r="K42" s="108"/>
      <c r="L42" s="1045"/>
    </row>
    <row r="43" spans="1:12" s="89" customFormat="1" hidden="1">
      <c r="A43" s="1049"/>
      <c r="B43" s="1052"/>
      <c r="C43" s="1052"/>
      <c r="D43" s="1046"/>
      <c r="E43" s="1049"/>
      <c r="F43" s="799" t="s">
        <v>15</v>
      </c>
      <c r="G43" s="108">
        <f>G41+G42</f>
        <v>10000000</v>
      </c>
      <c r="H43" s="1055"/>
      <c r="I43" s="108">
        <f>I41+I42</f>
        <v>10000000</v>
      </c>
      <c r="J43" s="108">
        <f>J41+J42</f>
        <v>10000000</v>
      </c>
      <c r="K43" s="108">
        <f>K41+K42</f>
        <v>0</v>
      </c>
      <c r="L43" s="1046"/>
    </row>
    <row r="44" spans="1:12" s="89" customFormat="1" hidden="1">
      <c r="A44" s="1047">
        <v>6</v>
      </c>
      <c r="B44" s="1050"/>
      <c r="C44" s="1050" t="s">
        <v>21</v>
      </c>
      <c r="D44" s="1044" t="s">
        <v>242</v>
      </c>
      <c r="E44" s="1047">
        <v>2021</v>
      </c>
      <c r="F44" s="799" t="s">
        <v>13</v>
      </c>
      <c r="G44" s="108">
        <v>10000000</v>
      </c>
      <c r="H44" s="1053" t="s">
        <v>220</v>
      </c>
      <c r="I44" s="108">
        <f>J44+K44</f>
        <v>10000000</v>
      </c>
      <c r="J44" s="108">
        <v>10000000</v>
      </c>
      <c r="K44" s="108">
        <v>0</v>
      </c>
      <c r="L44" s="1044" t="s">
        <v>238</v>
      </c>
    </row>
    <row r="45" spans="1:12" s="89" customFormat="1" hidden="1">
      <c r="A45" s="1048"/>
      <c r="B45" s="1051"/>
      <c r="C45" s="1051"/>
      <c r="D45" s="1045"/>
      <c r="E45" s="1048"/>
      <c r="F45" s="799" t="s">
        <v>14</v>
      </c>
      <c r="G45" s="108"/>
      <c r="H45" s="1054"/>
      <c r="I45" s="108">
        <f>J45+K45</f>
        <v>0</v>
      </c>
      <c r="J45" s="108"/>
      <c r="K45" s="108"/>
      <c r="L45" s="1045"/>
    </row>
    <row r="46" spans="1:12" s="89" customFormat="1" hidden="1">
      <c r="A46" s="1049"/>
      <c r="B46" s="1052"/>
      <c r="C46" s="1052"/>
      <c r="D46" s="1046"/>
      <c r="E46" s="1049"/>
      <c r="F46" s="799" t="s">
        <v>15</v>
      </c>
      <c r="G46" s="108">
        <f>G44+G45</f>
        <v>10000000</v>
      </c>
      <c r="H46" s="1055"/>
      <c r="I46" s="108">
        <f>I44+I45</f>
        <v>10000000</v>
      </c>
      <c r="J46" s="108">
        <f>J44+J45</f>
        <v>10000000</v>
      </c>
      <c r="K46" s="108">
        <f>K44+K45</f>
        <v>0</v>
      </c>
      <c r="L46" s="1046"/>
    </row>
    <row r="47" spans="1:12" s="89" customFormat="1">
      <c r="A47" s="1047">
        <v>3</v>
      </c>
      <c r="B47" s="1050"/>
      <c r="C47" s="1050" t="s">
        <v>21</v>
      </c>
      <c r="D47" s="1044" t="s">
        <v>243</v>
      </c>
      <c r="E47" s="1047">
        <v>2021</v>
      </c>
      <c r="F47" s="799" t="s">
        <v>13</v>
      </c>
      <c r="G47" s="108">
        <v>10200000</v>
      </c>
      <c r="H47" s="1053" t="s">
        <v>220</v>
      </c>
      <c r="I47" s="108">
        <f t="shared" si="3"/>
        <v>10200000</v>
      </c>
      <c r="J47" s="108">
        <v>10200000</v>
      </c>
      <c r="K47" s="108">
        <v>0</v>
      </c>
      <c r="L47" s="1044" t="s">
        <v>238</v>
      </c>
    </row>
    <row r="48" spans="1:12" s="89" customFormat="1">
      <c r="A48" s="1048"/>
      <c r="B48" s="1051"/>
      <c r="C48" s="1051"/>
      <c r="D48" s="1045"/>
      <c r="E48" s="1048"/>
      <c r="F48" s="799" t="s">
        <v>14</v>
      </c>
      <c r="G48" s="108">
        <v>-10200000</v>
      </c>
      <c r="H48" s="1054"/>
      <c r="I48" s="108">
        <f t="shared" si="3"/>
        <v>-10200000</v>
      </c>
      <c r="J48" s="108">
        <v>-10200000</v>
      </c>
      <c r="K48" s="108"/>
      <c r="L48" s="1045"/>
    </row>
    <row r="49" spans="1:12" s="89" customFormat="1">
      <c r="A49" s="1049"/>
      <c r="B49" s="1052"/>
      <c r="C49" s="1052"/>
      <c r="D49" s="1046"/>
      <c r="E49" s="1049"/>
      <c r="F49" s="799" t="s">
        <v>15</v>
      </c>
      <c r="G49" s="108">
        <f>G47+G48</f>
        <v>0</v>
      </c>
      <c r="H49" s="1055"/>
      <c r="I49" s="108">
        <f>I47+I48</f>
        <v>0</v>
      </c>
      <c r="J49" s="108">
        <f>J47+J48</f>
        <v>0</v>
      </c>
      <c r="K49" s="108">
        <f>K47+K48</f>
        <v>0</v>
      </c>
      <c r="L49" s="1046"/>
    </row>
    <row r="50" spans="1:12" s="89" customFormat="1">
      <c r="A50" s="1047">
        <v>4</v>
      </c>
      <c r="B50" s="1050"/>
      <c r="C50" s="1050" t="s">
        <v>21</v>
      </c>
      <c r="D50" s="1044" t="s">
        <v>244</v>
      </c>
      <c r="E50" s="1047">
        <v>2021</v>
      </c>
      <c r="F50" s="799" t="s">
        <v>13</v>
      </c>
      <c r="G50" s="108">
        <v>1200000</v>
      </c>
      <c r="H50" s="1053" t="s">
        <v>220</v>
      </c>
      <c r="I50" s="108">
        <f t="shared" si="3"/>
        <v>1200000</v>
      </c>
      <c r="J50" s="108">
        <v>1200000</v>
      </c>
      <c r="K50" s="108">
        <v>0</v>
      </c>
      <c r="L50" s="1044" t="s">
        <v>238</v>
      </c>
    </row>
    <row r="51" spans="1:12" s="89" customFormat="1">
      <c r="A51" s="1048"/>
      <c r="B51" s="1051"/>
      <c r="C51" s="1051"/>
      <c r="D51" s="1045"/>
      <c r="E51" s="1048"/>
      <c r="F51" s="799" t="s">
        <v>14</v>
      </c>
      <c r="G51" s="108">
        <v>400000</v>
      </c>
      <c r="H51" s="1054"/>
      <c r="I51" s="108">
        <f t="shared" si="3"/>
        <v>400000</v>
      </c>
      <c r="J51" s="108">
        <v>400000</v>
      </c>
      <c r="K51" s="108"/>
      <c r="L51" s="1045"/>
    </row>
    <row r="52" spans="1:12" s="89" customFormat="1">
      <c r="A52" s="1049"/>
      <c r="B52" s="1052"/>
      <c r="C52" s="1052"/>
      <c r="D52" s="1046"/>
      <c r="E52" s="1049"/>
      <c r="F52" s="799" t="s">
        <v>15</v>
      </c>
      <c r="G52" s="108">
        <f>G50+G51</f>
        <v>1600000</v>
      </c>
      <c r="H52" s="1055"/>
      <c r="I52" s="108">
        <f>I50+I51</f>
        <v>1600000</v>
      </c>
      <c r="J52" s="108">
        <f>J50+J51</f>
        <v>1600000</v>
      </c>
      <c r="K52" s="108">
        <f>K50+K51</f>
        <v>0</v>
      </c>
      <c r="L52" s="1046"/>
    </row>
    <row r="53" spans="1:12" s="107" customFormat="1">
      <c r="A53" s="1061"/>
      <c r="B53" s="1094" t="s">
        <v>22</v>
      </c>
      <c r="C53" s="1094"/>
      <c r="D53" s="1097" t="s">
        <v>23</v>
      </c>
      <c r="E53" s="1061" t="s">
        <v>220</v>
      </c>
      <c r="F53" s="802" t="s">
        <v>13</v>
      </c>
      <c r="G53" s="106">
        <f>G56</f>
        <v>0</v>
      </c>
      <c r="H53" s="1100" t="s">
        <v>220</v>
      </c>
      <c r="I53" s="106">
        <f t="shared" ref="I53:K54" si="4">I56</f>
        <v>0</v>
      </c>
      <c r="J53" s="106">
        <f t="shared" si="4"/>
        <v>0</v>
      </c>
      <c r="K53" s="106">
        <f t="shared" si="4"/>
        <v>0</v>
      </c>
      <c r="L53" s="1061" t="s">
        <v>220</v>
      </c>
    </row>
    <row r="54" spans="1:12" s="107" customFormat="1">
      <c r="A54" s="1062"/>
      <c r="B54" s="1095"/>
      <c r="C54" s="1095"/>
      <c r="D54" s="1098"/>
      <c r="E54" s="1062"/>
      <c r="F54" s="802" t="s">
        <v>14</v>
      </c>
      <c r="G54" s="106">
        <f>G57</f>
        <v>22755</v>
      </c>
      <c r="H54" s="1101"/>
      <c r="I54" s="106">
        <f t="shared" si="4"/>
        <v>22755</v>
      </c>
      <c r="J54" s="106">
        <f t="shared" si="4"/>
        <v>22755</v>
      </c>
      <c r="K54" s="106">
        <f t="shared" si="4"/>
        <v>0</v>
      </c>
      <c r="L54" s="1062"/>
    </row>
    <row r="55" spans="1:12" s="107" customFormat="1">
      <c r="A55" s="1063"/>
      <c r="B55" s="1096"/>
      <c r="C55" s="1096"/>
      <c r="D55" s="1099"/>
      <c r="E55" s="1063"/>
      <c r="F55" s="802" t="s">
        <v>15</v>
      </c>
      <c r="G55" s="106">
        <f>G53+G54</f>
        <v>22755</v>
      </c>
      <c r="H55" s="1102"/>
      <c r="I55" s="106">
        <f>I53+I54</f>
        <v>22755</v>
      </c>
      <c r="J55" s="106">
        <f>J53+J54</f>
        <v>22755</v>
      </c>
      <c r="K55" s="106">
        <f>K53+K54</f>
        <v>0</v>
      </c>
      <c r="L55" s="1063"/>
    </row>
    <row r="56" spans="1:12" s="89" customFormat="1">
      <c r="A56" s="1047">
        <v>5</v>
      </c>
      <c r="B56" s="1050"/>
      <c r="C56" s="1050" t="s">
        <v>24</v>
      </c>
      <c r="D56" s="1044" t="s">
        <v>356</v>
      </c>
      <c r="E56" s="1047">
        <v>2021</v>
      </c>
      <c r="F56" s="799" t="s">
        <v>13</v>
      </c>
      <c r="G56" s="108">
        <v>0</v>
      </c>
      <c r="H56" s="1053" t="s">
        <v>220</v>
      </c>
      <c r="I56" s="108">
        <f>J56+K56</f>
        <v>0</v>
      </c>
      <c r="J56" s="108">
        <v>0</v>
      </c>
      <c r="K56" s="108">
        <v>0</v>
      </c>
      <c r="L56" s="1044" t="s">
        <v>236</v>
      </c>
    </row>
    <row r="57" spans="1:12" s="89" customFormat="1">
      <c r="A57" s="1048"/>
      <c r="B57" s="1051"/>
      <c r="C57" s="1051"/>
      <c r="D57" s="1045"/>
      <c r="E57" s="1048"/>
      <c r="F57" s="799" t="s">
        <v>14</v>
      </c>
      <c r="G57" s="108">
        <v>22755</v>
      </c>
      <c r="H57" s="1054"/>
      <c r="I57" s="108">
        <f>J57+K57</f>
        <v>22755</v>
      </c>
      <c r="J57" s="108">
        <v>22755</v>
      </c>
      <c r="K57" s="108"/>
      <c r="L57" s="1045"/>
    </row>
    <row r="58" spans="1:12" s="89" customFormat="1">
      <c r="A58" s="1049"/>
      <c r="B58" s="1052"/>
      <c r="C58" s="1052"/>
      <c r="D58" s="1046"/>
      <c r="E58" s="1049"/>
      <c r="F58" s="799" t="s">
        <v>15</v>
      </c>
      <c r="G58" s="108">
        <f>G56+G57</f>
        <v>22755</v>
      </c>
      <c r="H58" s="1055"/>
      <c r="I58" s="108">
        <f>I56+I57</f>
        <v>22755</v>
      </c>
      <c r="J58" s="108">
        <f>J56+J57</f>
        <v>22755</v>
      </c>
      <c r="K58" s="108">
        <f>K56+K57</f>
        <v>0</v>
      </c>
      <c r="L58" s="1046"/>
    </row>
    <row r="59" spans="1:12" s="107" customFormat="1" hidden="1">
      <c r="A59" s="1061"/>
      <c r="B59" s="1094" t="s">
        <v>25</v>
      </c>
      <c r="C59" s="1094"/>
      <c r="D59" s="1097" t="s">
        <v>26</v>
      </c>
      <c r="E59" s="1061" t="s">
        <v>220</v>
      </c>
      <c r="F59" s="802" t="s">
        <v>13</v>
      </c>
      <c r="G59" s="106">
        <f>G62</f>
        <v>12500</v>
      </c>
      <c r="H59" s="1100" t="s">
        <v>220</v>
      </c>
      <c r="I59" s="106">
        <f t="shared" ref="I59:K60" si="5">I62</f>
        <v>12500</v>
      </c>
      <c r="J59" s="106">
        <f t="shared" si="5"/>
        <v>12500</v>
      </c>
      <c r="K59" s="106">
        <f t="shared" si="5"/>
        <v>0</v>
      </c>
      <c r="L59" s="1061" t="s">
        <v>220</v>
      </c>
    </row>
    <row r="60" spans="1:12" s="107" customFormat="1" hidden="1">
      <c r="A60" s="1062"/>
      <c r="B60" s="1095"/>
      <c r="C60" s="1095"/>
      <c r="D60" s="1098"/>
      <c r="E60" s="1062"/>
      <c r="F60" s="802" t="s">
        <v>14</v>
      </c>
      <c r="G60" s="106">
        <f>G63</f>
        <v>0</v>
      </c>
      <c r="H60" s="1101"/>
      <c r="I60" s="106">
        <f t="shared" si="5"/>
        <v>0</v>
      </c>
      <c r="J60" s="106">
        <f t="shared" si="5"/>
        <v>0</v>
      </c>
      <c r="K60" s="106">
        <f t="shared" si="5"/>
        <v>0</v>
      </c>
      <c r="L60" s="1062"/>
    </row>
    <row r="61" spans="1:12" s="107" customFormat="1" hidden="1">
      <c r="A61" s="1063"/>
      <c r="B61" s="1096"/>
      <c r="C61" s="1096"/>
      <c r="D61" s="1099"/>
      <c r="E61" s="1063"/>
      <c r="F61" s="802" t="s">
        <v>15</v>
      </c>
      <c r="G61" s="106">
        <f>G59+G60</f>
        <v>12500</v>
      </c>
      <c r="H61" s="1102"/>
      <c r="I61" s="106">
        <f>I59+I60</f>
        <v>12500</v>
      </c>
      <c r="J61" s="106">
        <f>J59+J60</f>
        <v>12500</v>
      </c>
      <c r="K61" s="106">
        <f>K59+K60</f>
        <v>0</v>
      </c>
      <c r="L61" s="1063"/>
    </row>
    <row r="62" spans="1:12" s="89" customFormat="1" hidden="1">
      <c r="A62" s="1047">
        <v>9</v>
      </c>
      <c r="B62" s="1050"/>
      <c r="C62" s="1050" t="s">
        <v>44</v>
      </c>
      <c r="D62" s="1044" t="s">
        <v>245</v>
      </c>
      <c r="E62" s="1047">
        <v>2021</v>
      </c>
      <c r="F62" s="799" t="s">
        <v>13</v>
      </c>
      <c r="G62" s="108">
        <v>12500</v>
      </c>
      <c r="H62" s="1053" t="s">
        <v>220</v>
      </c>
      <c r="I62" s="108">
        <f>J62+K62</f>
        <v>12500</v>
      </c>
      <c r="J62" s="108">
        <v>12500</v>
      </c>
      <c r="K62" s="108">
        <v>0</v>
      </c>
      <c r="L62" s="1044" t="s">
        <v>236</v>
      </c>
    </row>
    <row r="63" spans="1:12" s="89" customFormat="1" hidden="1">
      <c r="A63" s="1048"/>
      <c r="B63" s="1051"/>
      <c r="C63" s="1051"/>
      <c r="D63" s="1045"/>
      <c r="E63" s="1048"/>
      <c r="F63" s="799" t="s">
        <v>14</v>
      </c>
      <c r="G63" s="108"/>
      <c r="H63" s="1054"/>
      <c r="I63" s="108">
        <f>J63+K63</f>
        <v>0</v>
      </c>
      <c r="J63" s="108"/>
      <c r="K63" s="108"/>
      <c r="L63" s="1045"/>
    </row>
    <row r="64" spans="1:12" s="89" customFormat="1" hidden="1">
      <c r="A64" s="1049"/>
      <c r="B64" s="1052"/>
      <c r="C64" s="1052"/>
      <c r="D64" s="1046"/>
      <c r="E64" s="1049"/>
      <c r="F64" s="799" t="s">
        <v>15</v>
      </c>
      <c r="G64" s="108">
        <f>G62+G63</f>
        <v>12500</v>
      </c>
      <c r="H64" s="1055"/>
      <c r="I64" s="108">
        <f>I62+I63</f>
        <v>12500</v>
      </c>
      <c r="J64" s="108">
        <f>J62+J63</f>
        <v>12500</v>
      </c>
      <c r="K64" s="108">
        <f>K62+K63</f>
        <v>0</v>
      </c>
      <c r="L64" s="1046"/>
    </row>
    <row r="65" spans="1:12" s="107" customFormat="1" hidden="1">
      <c r="A65" s="1061"/>
      <c r="B65" s="1094" t="s">
        <v>28</v>
      </c>
      <c r="C65" s="1094"/>
      <c r="D65" s="1097" t="s">
        <v>29</v>
      </c>
      <c r="E65" s="1061" t="s">
        <v>220</v>
      </c>
      <c r="F65" s="802" t="s">
        <v>13</v>
      </c>
      <c r="G65" s="106">
        <f>G68+G71+G74</f>
        <v>693050</v>
      </c>
      <c r="H65" s="1100" t="str">
        <f>H68</f>
        <v>x</v>
      </c>
      <c r="I65" s="106">
        <f t="shared" ref="I65:K66" si="6">I68+I71+I74</f>
        <v>693050</v>
      </c>
      <c r="J65" s="106">
        <f t="shared" si="6"/>
        <v>693050</v>
      </c>
      <c r="K65" s="106">
        <f t="shared" si="6"/>
        <v>0</v>
      </c>
      <c r="L65" s="1061" t="s">
        <v>220</v>
      </c>
    </row>
    <row r="66" spans="1:12" s="107" customFormat="1" hidden="1">
      <c r="A66" s="1062"/>
      <c r="B66" s="1095"/>
      <c r="C66" s="1095"/>
      <c r="D66" s="1098"/>
      <c r="E66" s="1062"/>
      <c r="F66" s="802" t="s">
        <v>14</v>
      </c>
      <c r="G66" s="106">
        <f>G69+G72+G75</f>
        <v>0</v>
      </c>
      <c r="H66" s="1101"/>
      <c r="I66" s="106">
        <f t="shared" si="6"/>
        <v>0</v>
      </c>
      <c r="J66" s="106">
        <f t="shared" si="6"/>
        <v>0</v>
      </c>
      <c r="K66" s="106">
        <f t="shared" si="6"/>
        <v>0</v>
      </c>
      <c r="L66" s="1062"/>
    </row>
    <row r="67" spans="1:12" s="107" customFormat="1" hidden="1">
      <c r="A67" s="1063"/>
      <c r="B67" s="1096"/>
      <c r="C67" s="1096"/>
      <c r="D67" s="1099"/>
      <c r="E67" s="1063"/>
      <c r="F67" s="802" t="s">
        <v>15</v>
      </c>
      <c r="G67" s="106">
        <f>G65+G66</f>
        <v>693050</v>
      </c>
      <c r="H67" s="1102"/>
      <c r="I67" s="106">
        <f>I65+I66</f>
        <v>693050</v>
      </c>
      <c r="J67" s="106">
        <f>J65+J66</f>
        <v>693050</v>
      </c>
      <c r="K67" s="106">
        <f>K65+K66</f>
        <v>0</v>
      </c>
      <c r="L67" s="1063"/>
    </row>
    <row r="68" spans="1:12" s="89" customFormat="1" hidden="1">
      <c r="A68" s="1047">
        <v>10</v>
      </c>
      <c r="B68" s="1050"/>
      <c r="C68" s="1050" t="s">
        <v>30</v>
      </c>
      <c r="D68" s="1044" t="s">
        <v>244</v>
      </c>
      <c r="E68" s="1047">
        <v>2021</v>
      </c>
      <c r="F68" s="799" t="s">
        <v>13</v>
      </c>
      <c r="G68" s="108">
        <v>500000</v>
      </c>
      <c r="H68" s="1053" t="s">
        <v>220</v>
      </c>
      <c r="I68" s="108">
        <f>J68+K68</f>
        <v>500000</v>
      </c>
      <c r="J68" s="108">
        <v>500000</v>
      </c>
      <c r="K68" s="108">
        <v>0</v>
      </c>
      <c r="L68" s="1044" t="s">
        <v>236</v>
      </c>
    </row>
    <row r="69" spans="1:12" s="89" customFormat="1" hidden="1">
      <c r="A69" s="1048"/>
      <c r="B69" s="1051"/>
      <c r="C69" s="1051"/>
      <c r="D69" s="1045"/>
      <c r="E69" s="1048"/>
      <c r="F69" s="799" t="s">
        <v>14</v>
      </c>
      <c r="G69" s="108"/>
      <c r="H69" s="1054"/>
      <c r="I69" s="108">
        <f>J69+K69</f>
        <v>0</v>
      </c>
      <c r="J69" s="108"/>
      <c r="K69" s="108"/>
      <c r="L69" s="1045"/>
    </row>
    <row r="70" spans="1:12" s="89" customFormat="1" hidden="1">
      <c r="A70" s="1049"/>
      <c r="B70" s="1052"/>
      <c r="C70" s="1052"/>
      <c r="D70" s="1046"/>
      <c r="E70" s="1049"/>
      <c r="F70" s="799" t="s">
        <v>15</v>
      </c>
      <c r="G70" s="108">
        <f>G68+G69</f>
        <v>500000</v>
      </c>
      <c r="H70" s="1055"/>
      <c r="I70" s="108">
        <f>I68+I69</f>
        <v>500000</v>
      </c>
      <c r="J70" s="108">
        <f>J68+J69</f>
        <v>500000</v>
      </c>
      <c r="K70" s="108">
        <f>K68+K69</f>
        <v>0</v>
      </c>
      <c r="L70" s="1046"/>
    </row>
    <row r="71" spans="1:12" s="89" customFormat="1" hidden="1">
      <c r="A71" s="1047">
        <v>11</v>
      </c>
      <c r="B71" s="1050"/>
      <c r="C71" s="1050" t="s">
        <v>30</v>
      </c>
      <c r="D71" s="1044" t="s">
        <v>246</v>
      </c>
      <c r="E71" s="1047">
        <v>2021</v>
      </c>
      <c r="F71" s="799" t="s">
        <v>13</v>
      </c>
      <c r="G71" s="108">
        <v>150000</v>
      </c>
      <c r="H71" s="1053" t="s">
        <v>220</v>
      </c>
      <c r="I71" s="108">
        <f>J71+K71</f>
        <v>150000</v>
      </c>
      <c r="J71" s="108">
        <v>150000</v>
      </c>
      <c r="K71" s="108">
        <v>0</v>
      </c>
      <c r="L71" s="1044" t="s">
        <v>236</v>
      </c>
    </row>
    <row r="72" spans="1:12" s="89" customFormat="1" hidden="1">
      <c r="A72" s="1048"/>
      <c r="B72" s="1051"/>
      <c r="C72" s="1051"/>
      <c r="D72" s="1045"/>
      <c r="E72" s="1048"/>
      <c r="F72" s="799" t="s">
        <v>14</v>
      </c>
      <c r="G72" s="108"/>
      <c r="H72" s="1054"/>
      <c r="I72" s="108">
        <f>J72+K72</f>
        <v>0</v>
      </c>
      <c r="J72" s="108"/>
      <c r="K72" s="108"/>
      <c r="L72" s="1045"/>
    </row>
    <row r="73" spans="1:12" s="89" customFormat="1" hidden="1">
      <c r="A73" s="1049"/>
      <c r="B73" s="1052"/>
      <c r="C73" s="1052"/>
      <c r="D73" s="1046"/>
      <c r="E73" s="1049"/>
      <c r="F73" s="799" t="s">
        <v>15</v>
      </c>
      <c r="G73" s="108">
        <f>G71+G72</f>
        <v>150000</v>
      </c>
      <c r="H73" s="1055"/>
      <c r="I73" s="108">
        <f>I71+I72</f>
        <v>150000</v>
      </c>
      <c r="J73" s="108">
        <f>J71+J72</f>
        <v>150000</v>
      </c>
      <c r="K73" s="108">
        <f>K71+K72</f>
        <v>0</v>
      </c>
      <c r="L73" s="1046"/>
    </row>
    <row r="74" spans="1:12" s="89" customFormat="1" hidden="1">
      <c r="A74" s="1047">
        <v>12</v>
      </c>
      <c r="B74" s="1050"/>
      <c r="C74" s="1050" t="s">
        <v>30</v>
      </c>
      <c r="D74" s="1044" t="s">
        <v>247</v>
      </c>
      <c r="E74" s="1047">
        <v>2021</v>
      </c>
      <c r="F74" s="799" t="s">
        <v>13</v>
      </c>
      <c r="G74" s="108">
        <v>43050</v>
      </c>
      <c r="H74" s="1053" t="s">
        <v>220</v>
      </c>
      <c r="I74" s="108">
        <f>J74+K74</f>
        <v>43050</v>
      </c>
      <c r="J74" s="108">
        <v>43050</v>
      </c>
      <c r="K74" s="108">
        <v>0</v>
      </c>
      <c r="L74" s="1044" t="s">
        <v>236</v>
      </c>
    </row>
    <row r="75" spans="1:12" s="89" customFormat="1" hidden="1">
      <c r="A75" s="1048"/>
      <c r="B75" s="1051"/>
      <c r="C75" s="1051"/>
      <c r="D75" s="1045"/>
      <c r="E75" s="1048"/>
      <c r="F75" s="799" t="s">
        <v>14</v>
      </c>
      <c r="G75" s="108"/>
      <c r="H75" s="1054"/>
      <c r="I75" s="108">
        <f>J75+K75</f>
        <v>0</v>
      </c>
      <c r="J75" s="108"/>
      <c r="K75" s="108"/>
      <c r="L75" s="1045"/>
    </row>
    <row r="76" spans="1:12" s="89" customFormat="1" hidden="1">
      <c r="A76" s="1049"/>
      <c r="B76" s="1052"/>
      <c r="C76" s="1052"/>
      <c r="D76" s="1046"/>
      <c r="E76" s="1049"/>
      <c r="F76" s="799" t="s">
        <v>15</v>
      </c>
      <c r="G76" s="108">
        <f>G74+G75</f>
        <v>43050</v>
      </c>
      <c r="H76" s="1055"/>
      <c r="I76" s="108">
        <f>I74+I75</f>
        <v>43050</v>
      </c>
      <c r="J76" s="108">
        <f>J74+J75</f>
        <v>43050</v>
      </c>
      <c r="K76" s="108">
        <f>K74+K75</f>
        <v>0</v>
      </c>
      <c r="L76" s="1046"/>
    </row>
    <row r="77" spans="1:12" s="107" customFormat="1" hidden="1">
      <c r="A77" s="1061"/>
      <c r="B77" s="1094" t="s">
        <v>31</v>
      </c>
      <c r="C77" s="1094"/>
      <c r="D77" s="1097" t="s">
        <v>32</v>
      </c>
      <c r="E77" s="1061" t="s">
        <v>220</v>
      </c>
      <c r="F77" s="802" t="s">
        <v>13</v>
      </c>
      <c r="G77" s="106">
        <f>G80+G83+G86+G89</f>
        <v>134315</v>
      </c>
      <c r="H77" s="1100" t="s">
        <v>220</v>
      </c>
      <c r="I77" s="106">
        <f t="shared" ref="I77:K78" si="7">I80+I83+I86+I89</f>
        <v>134315</v>
      </c>
      <c r="J77" s="106">
        <f t="shared" si="7"/>
        <v>134315</v>
      </c>
      <c r="K77" s="106">
        <f t="shared" si="7"/>
        <v>0</v>
      </c>
      <c r="L77" s="1061" t="s">
        <v>220</v>
      </c>
    </row>
    <row r="78" spans="1:12" s="107" customFormat="1" hidden="1">
      <c r="A78" s="1062"/>
      <c r="B78" s="1095"/>
      <c r="C78" s="1095"/>
      <c r="D78" s="1098"/>
      <c r="E78" s="1062"/>
      <c r="F78" s="802" t="s">
        <v>14</v>
      </c>
      <c r="G78" s="106">
        <f>G81+G84+G87+G90</f>
        <v>0</v>
      </c>
      <c r="H78" s="1101"/>
      <c r="I78" s="106">
        <f t="shared" si="7"/>
        <v>0</v>
      </c>
      <c r="J78" s="106">
        <f t="shared" si="7"/>
        <v>0</v>
      </c>
      <c r="K78" s="106">
        <f t="shared" si="7"/>
        <v>0</v>
      </c>
      <c r="L78" s="1062"/>
    </row>
    <row r="79" spans="1:12" s="107" customFormat="1" hidden="1">
      <c r="A79" s="1063"/>
      <c r="B79" s="1096"/>
      <c r="C79" s="1096"/>
      <c r="D79" s="1099"/>
      <c r="E79" s="1063"/>
      <c r="F79" s="802" t="s">
        <v>15</v>
      </c>
      <c r="G79" s="106">
        <f>G77+G78</f>
        <v>134315</v>
      </c>
      <c r="H79" s="1102"/>
      <c r="I79" s="106">
        <f>I77+I78</f>
        <v>134315</v>
      </c>
      <c r="J79" s="106">
        <f>J77+J78</f>
        <v>134315</v>
      </c>
      <c r="K79" s="106">
        <f>K77+K78</f>
        <v>0</v>
      </c>
      <c r="L79" s="1063"/>
    </row>
    <row r="80" spans="1:12" s="89" customFormat="1" hidden="1">
      <c r="A80" s="1047">
        <v>13</v>
      </c>
      <c r="B80" s="1050"/>
      <c r="C80" s="1050" t="s">
        <v>144</v>
      </c>
      <c r="D80" s="1106" t="s">
        <v>248</v>
      </c>
      <c r="E80" s="1047">
        <v>2021</v>
      </c>
      <c r="F80" s="799" t="s">
        <v>13</v>
      </c>
      <c r="G80" s="108">
        <v>12970</v>
      </c>
      <c r="H80" s="1053" t="s">
        <v>220</v>
      </c>
      <c r="I80" s="108">
        <f>J80+K80</f>
        <v>12970</v>
      </c>
      <c r="J80" s="108">
        <v>12970</v>
      </c>
      <c r="K80" s="108">
        <v>0</v>
      </c>
      <c r="L80" s="1044" t="s">
        <v>249</v>
      </c>
    </row>
    <row r="81" spans="1:12" s="89" customFormat="1" hidden="1">
      <c r="A81" s="1048"/>
      <c r="B81" s="1051"/>
      <c r="C81" s="1051"/>
      <c r="D81" s="1107"/>
      <c r="E81" s="1048"/>
      <c r="F81" s="799" t="s">
        <v>14</v>
      </c>
      <c r="G81" s="108"/>
      <c r="H81" s="1054"/>
      <c r="I81" s="108">
        <f>J81+K81</f>
        <v>0</v>
      </c>
      <c r="J81" s="108"/>
      <c r="K81" s="108"/>
      <c r="L81" s="1045"/>
    </row>
    <row r="82" spans="1:12" s="89" customFormat="1" hidden="1">
      <c r="A82" s="1049"/>
      <c r="B82" s="1052"/>
      <c r="C82" s="1052"/>
      <c r="D82" s="1108"/>
      <c r="E82" s="1049"/>
      <c r="F82" s="799" t="s">
        <v>15</v>
      </c>
      <c r="G82" s="108">
        <f>G80+G81</f>
        <v>12970</v>
      </c>
      <c r="H82" s="1055"/>
      <c r="I82" s="108">
        <f>I80+I81</f>
        <v>12970</v>
      </c>
      <c r="J82" s="108">
        <f>J80+J81</f>
        <v>12970</v>
      </c>
      <c r="K82" s="108">
        <f>K80+K81</f>
        <v>0</v>
      </c>
      <c r="L82" s="1046"/>
    </row>
    <row r="83" spans="1:12" s="89" customFormat="1" hidden="1">
      <c r="A83" s="1047">
        <v>14</v>
      </c>
      <c r="B83" s="1050"/>
      <c r="C83" s="1050" t="s">
        <v>150</v>
      </c>
      <c r="D83" s="1106" t="s">
        <v>250</v>
      </c>
      <c r="E83" s="1047">
        <v>2021</v>
      </c>
      <c r="F83" s="799" t="s">
        <v>13</v>
      </c>
      <c r="G83" s="108">
        <v>63345</v>
      </c>
      <c r="H83" s="1053" t="s">
        <v>220</v>
      </c>
      <c r="I83" s="108">
        <f>J83+K83</f>
        <v>63345</v>
      </c>
      <c r="J83" s="108">
        <v>63345</v>
      </c>
      <c r="K83" s="108">
        <v>0</v>
      </c>
      <c r="L83" s="1044" t="s">
        <v>251</v>
      </c>
    </row>
    <row r="84" spans="1:12" s="89" customFormat="1" hidden="1">
      <c r="A84" s="1048"/>
      <c r="B84" s="1051"/>
      <c r="C84" s="1051"/>
      <c r="D84" s="1107"/>
      <c r="E84" s="1048"/>
      <c r="F84" s="799" t="s">
        <v>14</v>
      </c>
      <c r="G84" s="108"/>
      <c r="H84" s="1054"/>
      <c r="I84" s="108">
        <f>J84+K84</f>
        <v>0</v>
      </c>
      <c r="J84" s="108"/>
      <c r="K84" s="108"/>
      <c r="L84" s="1045"/>
    </row>
    <row r="85" spans="1:12" s="89" customFormat="1" hidden="1">
      <c r="A85" s="1049"/>
      <c r="B85" s="1052"/>
      <c r="C85" s="1052"/>
      <c r="D85" s="1108"/>
      <c r="E85" s="1049"/>
      <c r="F85" s="799" t="s">
        <v>15</v>
      </c>
      <c r="G85" s="108">
        <f>G83+G84</f>
        <v>63345</v>
      </c>
      <c r="H85" s="1055"/>
      <c r="I85" s="108">
        <f>I83+I84</f>
        <v>63345</v>
      </c>
      <c r="J85" s="108">
        <f>J83+J84</f>
        <v>63345</v>
      </c>
      <c r="K85" s="108">
        <f>K83+K84</f>
        <v>0</v>
      </c>
      <c r="L85" s="1046"/>
    </row>
    <row r="86" spans="1:12" s="89" customFormat="1" hidden="1">
      <c r="A86" s="1047">
        <v>15</v>
      </c>
      <c r="B86" s="1050"/>
      <c r="C86" s="1050" t="s">
        <v>33</v>
      </c>
      <c r="D86" s="1106" t="s">
        <v>252</v>
      </c>
      <c r="E86" s="1047">
        <v>2021</v>
      </c>
      <c r="F86" s="799" t="s">
        <v>13</v>
      </c>
      <c r="G86" s="108">
        <v>40000</v>
      </c>
      <c r="H86" s="1053" t="s">
        <v>220</v>
      </c>
      <c r="I86" s="108">
        <f>J86+K86</f>
        <v>40000</v>
      </c>
      <c r="J86" s="108">
        <v>40000</v>
      </c>
      <c r="K86" s="108">
        <v>0</v>
      </c>
      <c r="L86" s="1044" t="s">
        <v>253</v>
      </c>
    </row>
    <row r="87" spans="1:12" s="89" customFormat="1" hidden="1">
      <c r="A87" s="1048"/>
      <c r="B87" s="1051"/>
      <c r="C87" s="1051"/>
      <c r="D87" s="1107"/>
      <c r="E87" s="1048"/>
      <c r="F87" s="799" t="s">
        <v>14</v>
      </c>
      <c r="G87" s="108"/>
      <c r="H87" s="1054"/>
      <c r="I87" s="108">
        <f>J87+K87</f>
        <v>0</v>
      </c>
      <c r="J87" s="108"/>
      <c r="K87" s="108"/>
      <c r="L87" s="1045"/>
    </row>
    <row r="88" spans="1:12" s="89" customFormat="1" hidden="1">
      <c r="A88" s="1049"/>
      <c r="B88" s="1052"/>
      <c r="C88" s="1052"/>
      <c r="D88" s="1108"/>
      <c r="E88" s="1049"/>
      <c r="F88" s="799" t="s">
        <v>15</v>
      </c>
      <c r="G88" s="108">
        <f>G86+G87</f>
        <v>40000</v>
      </c>
      <c r="H88" s="1055"/>
      <c r="I88" s="108">
        <f>I86+I87</f>
        <v>40000</v>
      </c>
      <c r="J88" s="108">
        <f>J86+J87</f>
        <v>40000</v>
      </c>
      <c r="K88" s="108">
        <f>K86+K87</f>
        <v>0</v>
      </c>
      <c r="L88" s="1046"/>
    </row>
    <row r="89" spans="1:12" s="89" customFormat="1" hidden="1">
      <c r="A89" s="1047">
        <v>16</v>
      </c>
      <c r="B89" s="1050"/>
      <c r="C89" s="1050" t="s">
        <v>33</v>
      </c>
      <c r="D89" s="1106" t="s">
        <v>254</v>
      </c>
      <c r="E89" s="1047">
        <v>2021</v>
      </c>
      <c r="F89" s="799" t="s">
        <v>13</v>
      </c>
      <c r="G89" s="108">
        <v>18000</v>
      </c>
      <c r="H89" s="1053" t="s">
        <v>220</v>
      </c>
      <c r="I89" s="108">
        <f>J89+K89</f>
        <v>18000</v>
      </c>
      <c r="J89" s="108">
        <v>18000</v>
      </c>
      <c r="K89" s="108">
        <v>0</v>
      </c>
      <c r="L89" s="1044" t="s">
        <v>255</v>
      </c>
    </row>
    <row r="90" spans="1:12" s="89" customFormat="1" hidden="1">
      <c r="A90" s="1048"/>
      <c r="B90" s="1051"/>
      <c r="C90" s="1051"/>
      <c r="D90" s="1107"/>
      <c r="E90" s="1048"/>
      <c r="F90" s="799" t="s">
        <v>14</v>
      </c>
      <c r="G90" s="108"/>
      <c r="H90" s="1054"/>
      <c r="I90" s="108">
        <f>J90+K90</f>
        <v>0</v>
      </c>
      <c r="J90" s="108"/>
      <c r="K90" s="108"/>
      <c r="L90" s="1045"/>
    </row>
    <row r="91" spans="1:12" s="89" customFormat="1" hidden="1">
      <c r="A91" s="1049"/>
      <c r="B91" s="1052"/>
      <c r="C91" s="1052"/>
      <c r="D91" s="1108"/>
      <c r="E91" s="1049"/>
      <c r="F91" s="799" t="s">
        <v>15</v>
      </c>
      <c r="G91" s="108">
        <f>G89+G90</f>
        <v>18000</v>
      </c>
      <c r="H91" s="1055"/>
      <c r="I91" s="108">
        <f>I89+I90</f>
        <v>18000</v>
      </c>
      <c r="J91" s="108">
        <f>J89+J90</f>
        <v>18000</v>
      </c>
      <c r="K91" s="108">
        <f>K89+K90</f>
        <v>0</v>
      </c>
      <c r="L91" s="1046"/>
    </row>
    <row r="92" spans="1:12" s="107" customFormat="1" hidden="1">
      <c r="A92" s="1061"/>
      <c r="B92" s="1094" t="s">
        <v>34</v>
      </c>
      <c r="C92" s="1094"/>
      <c r="D92" s="1097" t="s">
        <v>35</v>
      </c>
      <c r="E92" s="1061" t="s">
        <v>220</v>
      </c>
      <c r="F92" s="802" t="s">
        <v>13</v>
      </c>
      <c r="G92" s="106">
        <f>G95+G98+G101</f>
        <v>934560</v>
      </c>
      <c r="H92" s="1100" t="str">
        <f>H95</f>
        <v>x</v>
      </c>
      <c r="I92" s="106">
        <f t="shared" ref="I92:K93" si="8">I95+I98+I101</f>
        <v>934560</v>
      </c>
      <c r="J92" s="106">
        <f t="shared" si="8"/>
        <v>172200</v>
      </c>
      <c r="K92" s="106">
        <f t="shared" si="8"/>
        <v>762360</v>
      </c>
      <c r="L92" s="1061" t="s">
        <v>220</v>
      </c>
    </row>
    <row r="93" spans="1:12" s="107" customFormat="1" hidden="1">
      <c r="A93" s="1062"/>
      <c r="B93" s="1095"/>
      <c r="C93" s="1095"/>
      <c r="D93" s="1098"/>
      <c r="E93" s="1062"/>
      <c r="F93" s="802" t="s">
        <v>14</v>
      </c>
      <c r="G93" s="106">
        <f>G96+G99+G102</f>
        <v>0</v>
      </c>
      <c r="H93" s="1101"/>
      <c r="I93" s="106">
        <f t="shared" si="8"/>
        <v>0</v>
      </c>
      <c r="J93" s="106">
        <f t="shared" si="8"/>
        <v>0</v>
      </c>
      <c r="K93" s="106">
        <f t="shared" si="8"/>
        <v>0</v>
      </c>
      <c r="L93" s="1062"/>
    </row>
    <row r="94" spans="1:12" s="107" customFormat="1" hidden="1">
      <c r="A94" s="1063"/>
      <c r="B94" s="1096"/>
      <c r="C94" s="1096"/>
      <c r="D94" s="1099"/>
      <c r="E94" s="1063"/>
      <c r="F94" s="802" t="s">
        <v>15</v>
      </c>
      <c r="G94" s="106">
        <f>G92+G93</f>
        <v>934560</v>
      </c>
      <c r="H94" s="1102"/>
      <c r="I94" s="106">
        <f>I92+I93</f>
        <v>934560</v>
      </c>
      <c r="J94" s="106">
        <f>J92+J93</f>
        <v>172200</v>
      </c>
      <c r="K94" s="106">
        <f>K92+K93</f>
        <v>762360</v>
      </c>
      <c r="L94" s="1063"/>
    </row>
    <row r="95" spans="1:12" s="89" customFormat="1" hidden="1">
      <c r="A95" s="1047">
        <v>1</v>
      </c>
      <c r="B95" s="1050"/>
      <c r="C95" s="1050" t="s">
        <v>221</v>
      </c>
      <c r="D95" s="1106" t="s">
        <v>256</v>
      </c>
      <c r="E95" s="1047">
        <v>2021</v>
      </c>
      <c r="F95" s="799" t="s">
        <v>13</v>
      </c>
      <c r="G95" s="108">
        <v>762360</v>
      </c>
      <c r="H95" s="1053" t="s">
        <v>220</v>
      </c>
      <c r="I95" s="108">
        <f>J95+K95</f>
        <v>762360</v>
      </c>
      <c r="J95" s="108">
        <v>0</v>
      </c>
      <c r="K95" s="108">
        <v>762360</v>
      </c>
      <c r="L95" s="1044" t="s">
        <v>257</v>
      </c>
    </row>
    <row r="96" spans="1:12" s="89" customFormat="1" hidden="1">
      <c r="A96" s="1048"/>
      <c r="B96" s="1051"/>
      <c r="C96" s="1051"/>
      <c r="D96" s="1107"/>
      <c r="E96" s="1048"/>
      <c r="F96" s="799" t="s">
        <v>14</v>
      </c>
      <c r="G96" s="108"/>
      <c r="H96" s="1054"/>
      <c r="I96" s="108">
        <f>J96+K96</f>
        <v>0</v>
      </c>
      <c r="J96" s="108"/>
      <c r="K96" s="108"/>
      <c r="L96" s="1045"/>
    </row>
    <row r="97" spans="1:12" s="89" customFormat="1" hidden="1">
      <c r="A97" s="1049"/>
      <c r="B97" s="1052"/>
      <c r="C97" s="1052"/>
      <c r="D97" s="1108"/>
      <c r="E97" s="1049"/>
      <c r="F97" s="799" t="s">
        <v>15</v>
      </c>
      <c r="G97" s="108">
        <f>G95+G96</f>
        <v>762360</v>
      </c>
      <c r="H97" s="1055"/>
      <c r="I97" s="108">
        <f>I95+I96</f>
        <v>762360</v>
      </c>
      <c r="J97" s="108">
        <f>J95+J96</f>
        <v>0</v>
      </c>
      <c r="K97" s="108">
        <f>K95+K96</f>
        <v>762360</v>
      </c>
      <c r="L97" s="1046"/>
    </row>
    <row r="98" spans="1:12" s="89" customFormat="1" hidden="1">
      <c r="A98" s="1047">
        <v>1</v>
      </c>
      <c r="B98" s="1050"/>
      <c r="C98" s="1050" t="s">
        <v>349</v>
      </c>
      <c r="D98" s="1106" t="s">
        <v>350</v>
      </c>
      <c r="E98" s="1047">
        <v>2021</v>
      </c>
      <c r="F98" s="799" t="s">
        <v>13</v>
      </c>
      <c r="G98" s="108">
        <v>71340</v>
      </c>
      <c r="H98" s="1053" t="s">
        <v>220</v>
      </c>
      <c r="I98" s="108">
        <f>J98+K98</f>
        <v>71340</v>
      </c>
      <c r="J98" s="108">
        <v>71340</v>
      </c>
      <c r="K98" s="108">
        <v>0</v>
      </c>
      <c r="L98" s="1044" t="s">
        <v>351</v>
      </c>
    </row>
    <row r="99" spans="1:12" s="89" customFormat="1" hidden="1">
      <c r="A99" s="1048"/>
      <c r="B99" s="1051"/>
      <c r="C99" s="1051"/>
      <c r="D99" s="1107"/>
      <c r="E99" s="1048"/>
      <c r="F99" s="799" t="s">
        <v>14</v>
      </c>
      <c r="G99" s="108"/>
      <c r="H99" s="1054"/>
      <c r="I99" s="108">
        <f>J99+K99</f>
        <v>0</v>
      </c>
      <c r="J99" s="108"/>
      <c r="K99" s="108"/>
      <c r="L99" s="1045"/>
    </row>
    <row r="100" spans="1:12" s="89" customFormat="1" hidden="1">
      <c r="A100" s="1049"/>
      <c r="B100" s="1052"/>
      <c r="C100" s="1052"/>
      <c r="D100" s="1108"/>
      <c r="E100" s="1049"/>
      <c r="F100" s="799" t="s">
        <v>15</v>
      </c>
      <c r="G100" s="108">
        <f>G98+G99</f>
        <v>71340</v>
      </c>
      <c r="H100" s="1055"/>
      <c r="I100" s="108">
        <f>I98+I99</f>
        <v>71340</v>
      </c>
      <c r="J100" s="108">
        <f>J98+J99</f>
        <v>71340</v>
      </c>
      <c r="K100" s="108">
        <f>K98+K99</f>
        <v>0</v>
      </c>
      <c r="L100" s="1046"/>
    </row>
    <row r="101" spans="1:12" s="89" customFormat="1" hidden="1">
      <c r="A101" s="1047">
        <v>2</v>
      </c>
      <c r="B101" s="1050"/>
      <c r="C101" s="1050" t="s">
        <v>352</v>
      </c>
      <c r="D101" s="1106" t="s">
        <v>353</v>
      </c>
      <c r="E101" s="1047">
        <v>2021</v>
      </c>
      <c r="F101" s="799" t="s">
        <v>13</v>
      </c>
      <c r="G101" s="108">
        <v>100860</v>
      </c>
      <c r="H101" s="1053" t="s">
        <v>220</v>
      </c>
      <c r="I101" s="108">
        <f>J101+K101</f>
        <v>100860</v>
      </c>
      <c r="J101" s="108">
        <v>100860</v>
      </c>
      <c r="K101" s="108">
        <v>0</v>
      </c>
      <c r="L101" s="1044" t="s">
        <v>354</v>
      </c>
    </row>
    <row r="102" spans="1:12" s="89" customFormat="1" hidden="1">
      <c r="A102" s="1048"/>
      <c r="B102" s="1051"/>
      <c r="C102" s="1051"/>
      <c r="D102" s="1107"/>
      <c r="E102" s="1048"/>
      <c r="F102" s="799" t="s">
        <v>14</v>
      </c>
      <c r="G102" s="108"/>
      <c r="H102" s="1054"/>
      <c r="I102" s="108">
        <f>J102+K102</f>
        <v>0</v>
      </c>
      <c r="J102" s="108"/>
      <c r="K102" s="108"/>
      <c r="L102" s="1045"/>
    </row>
    <row r="103" spans="1:12" s="89" customFormat="1" hidden="1">
      <c r="A103" s="1049"/>
      <c r="B103" s="1052"/>
      <c r="C103" s="1052"/>
      <c r="D103" s="1108"/>
      <c r="E103" s="1049"/>
      <c r="F103" s="799" t="s">
        <v>15</v>
      </c>
      <c r="G103" s="108">
        <f>G101+G102</f>
        <v>100860</v>
      </c>
      <c r="H103" s="1055"/>
      <c r="I103" s="108">
        <f>I101+I102</f>
        <v>100860</v>
      </c>
      <c r="J103" s="108">
        <f>J101+J102</f>
        <v>100860</v>
      </c>
      <c r="K103" s="108">
        <f>K101+K102</f>
        <v>0</v>
      </c>
      <c r="L103" s="1046"/>
    </row>
    <row r="104" spans="1:12" s="107" customFormat="1" hidden="1">
      <c r="A104" s="1061"/>
      <c r="B104" s="1094" t="s">
        <v>258</v>
      </c>
      <c r="C104" s="1094"/>
      <c r="D104" s="1097" t="s">
        <v>36</v>
      </c>
      <c r="E104" s="1061" t="s">
        <v>220</v>
      </c>
      <c r="F104" s="802" t="s">
        <v>13</v>
      </c>
      <c r="G104" s="106">
        <f>G107+G110</f>
        <v>31500</v>
      </c>
      <c r="H104" s="1100" t="str">
        <f>H107</f>
        <v>x</v>
      </c>
      <c r="I104" s="106">
        <f t="shared" ref="I104:K105" si="9">I107+I110</f>
        <v>31500</v>
      </c>
      <c r="J104" s="106">
        <f t="shared" si="9"/>
        <v>31500</v>
      </c>
      <c r="K104" s="106">
        <f t="shared" si="9"/>
        <v>0</v>
      </c>
      <c r="L104" s="1061" t="s">
        <v>220</v>
      </c>
    </row>
    <row r="105" spans="1:12" s="107" customFormat="1" hidden="1">
      <c r="A105" s="1062"/>
      <c r="B105" s="1095"/>
      <c r="C105" s="1095"/>
      <c r="D105" s="1098"/>
      <c r="E105" s="1062"/>
      <c r="F105" s="802" t="s">
        <v>14</v>
      </c>
      <c r="G105" s="106">
        <f>G108+G111</f>
        <v>0</v>
      </c>
      <c r="H105" s="1101"/>
      <c r="I105" s="106">
        <f t="shared" si="9"/>
        <v>0</v>
      </c>
      <c r="J105" s="106">
        <f t="shared" si="9"/>
        <v>0</v>
      </c>
      <c r="K105" s="106">
        <f t="shared" si="9"/>
        <v>0</v>
      </c>
      <c r="L105" s="1062"/>
    </row>
    <row r="106" spans="1:12" s="107" customFormat="1" hidden="1">
      <c r="A106" s="1063"/>
      <c r="B106" s="1096"/>
      <c r="C106" s="1096"/>
      <c r="D106" s="1099"/>
      <c r="E106" s="1063"/>
      <c r="F106" s="802" t="s">
        <v>15</v>
      </c>
      <c r="G106" s="106">
        <f>G104+G105</f>
        <v>31500</v>
      </c>
      <c r="H106" s="1102"/>
      <c r="I106" s="106">
        <f>I104+I105</f>
        <v>31500</v>
      </c>
      <c r="J106" s="106">
        <f>J104+J105</f>
        <v>31500</v>
      </c>
      <c r="K106" s="106">
        <f>K104+K105</f>
        <v>0</v>
      </c>
      <c r="L106" s="1063"/>
    </row>
    <row r="107" spans="1:12" s="89" customFormat="1" hidden="1">
      <c r="A107" s="1047">
        <v>17</v>
      </c>
      <c r="B107" s="1050"/>
      <c r="C107" s="1050" t="s">
        <v>259</v>
      </c>
      <c r="D107" s="1106" t="s">
        <v>260</v>
      </c>
      <c r="E107" s="1047">
        <v>2021</v>
      </c>
      <c r="F107" s="799" t="s">
        <v>13</v>
      </c>
      <c r="G107" s="108">
        <v>15000</v>
      </c>
      <c r="H107" s="1053" t="s">
        <v>220</v>
      </c>
      <c r="I107" s="108">
        <f>J107+K107</f>
        <v>15000</v>
      </c>
      <c r="J107" s="108">
        <v>15000</v>
      </c>
      <c r="K107" s="108">
        <v>0</v>
      </c>
      <c r="L107" s="1044" t="s">
        <v>261</v>
      </c>
    </row>
    <row r="108" spans="1:12" s="89" customFormat="1" hidden="1">
      <c r="A108" s="1048"/>
      <c r="B108" s="1051"/>
      <c r="C108" s="1051"/>
      <c r="D108" s="1107"/>
      <c r="E108" s="1048"/>
      <c r="F108" s="799" t="s">
        <v>14</v>
      </c>
      <c r="G108" s="108"/>
      <c r="H108" s="1054"/>
      <c r="I108" s="108">
        <f>J108+K108</f>
        <v>0</v>
      </c>
      <c r="J108" s="108"/>
      <c r="K108" s="108"/>
      <c r="L108" s="1045"/>
    </row>
    <row r="109" spans="1:12" s="89" customFormat="1" hidden="1">
      <c r="A109" s="1049"/>
      <c r="B109" s="1052"/>
      <c r="C109" s="1052"/>
      <c r="D109" s="1108"/>
      <c r="E109" s="1049"/>
      <c r="F109" s="799" t="s">
        <v>15</v>
      </c>
      <c r="G109" s="108">
        <f>G107+G108</f>
        <v>15000</v>
      </c>
      <c r="H109" s="1055"/>
      <c r="I109" s="108">
        <f>I107+I108</f>
        <v>15000</v>
      </c>
      <c r="J109" s="108">
        <f>J107+J108</f>
        <v>15000</v>
      </c>
      <c r="K109" s="108">
        <f>K107+K108</f>
        <v>0</v>
      </c>
      <c r="L109" s="1046"/>
    </row>
    <row r="110" spans="1:12" s="89" customFormat="1" hidden="1">
      <c r="A110" s="1047">
        <v>18</v>
      </c>
      <c r="B110" s="1050"/>
      <c r="C110" s="1050" t="s">
        <v>259</v>
      </c>
      <c r="D110" s="1106" t="s">
        <v>262</v>
      </c>
      <c r="E110" s="1047">
        <v>2021</v>
      </c>
      <c r="F110" s="799" t="s">
        <v>13</v>
      </c>
      <c r="G110" s="108">
        <v>16500</v>
      </c>
      <c r="H110" s="1053" t="s">
        <v>220</v>
      </c>
      <c r="I110" s="108">
        <f>J110+K110</f>
        <v>16500</v>
      </c>
      <c r="J110" s="108">
        <v>16500</v>
      </c>
      <c r="K110" s="108">
        <v>0</v>
      </c>
      <c r="L110" s="1044" t="s">
        <v>261</v>
      </c>
    </row>
    <row r="111" spans="1:12" s="89" customFormat="1" hidden="1">
      <c r="A111" s="1048"/>
      <c r="B111" s="1051"/>
      <c r="C111" s="1051"/>
      <c r="D111" s="1107"/>
      <c r="E111" s="1048"/>
      <c r="F111" s="799" t="s">
        <v>14</v>
      </c>
      <c r="G111" s="108"/>
      <c r="H111" s="1054"/>
      <c r="I111" s="108">
        <f>J111+K111</f>
        <v>0</v>
      </c>
      <c r="J111" s="108"/>
      <c r="K111" s="108"/>
      <c r="L111" s="1045"/>
    </row>
    <row r="112" spans="1:12" s="89" customFormat="1" hidden="1">
      <c r="A112" s="1049"/>
      <c r="B112" s="1052"/>
      <c r="C112" s="1052"/>
      <c r="D112" s="1108"/>
      <c r="E112" s="1049"/>
      <c r="F112" s="799" t="s">
        <v>15</v>
      </c>
      <c r="G112" s="108">
        <f>G110+G111</f>
        <v>16500</v>
      </c>
      <c r="H112" s="1055"/>
      <c r="I112" s="108">
        <f>I110+I111</f>
        <v>16500</v>
      </c>
      <c r="J112" s="108">
        <f>J110+J111</f>
        <v>16500</v>
      </c>
      <c r="K112" s="108">
        <f>K110+K111</f>
        <v>0</v>
      </c>
      <c r="L112" s="1046"/>
    </row>
    <row r="113" spans="1:12" s="107" customFormat="1">
      <c r="A113" s="1061"/>
      <c r="B113" s="1094" t="s">
        <v>263</v>
      </c>
      <c r="C113" s="1094"/>
      <c r="D113" s="1097" t="s">
        <v>264</v>
      </c>
      <c r="E113" s="1061" t="s">
        <v>220</v>
      </c>
      <c r="F113" s="802" t="s">
        <v>13</v>
      </c>
      <c r="G113" s="106">
        <f>G116+G119+G128+G122+G125</f>
        <v>602000</v>
      </c>
      <c r="H113" s="1100" t="s">
        <v>220</v>
      </c>
      <c r="I113" s="106">
        <f t="shared" ref="I113:K114" si="10">I116+I119+I128+I122+I125</f>
        <v>602000</v>
      </c>
      <c r="J113" s="106">
        <f t="shared" si="10"/>
        <v>602000</v>
      </c>
      <c r="K113" s="106">
        <f t="shared" si="10"/>
        <v>0</v>
      </c>
      <c r="L113" s="1061" t="s">
        <v>220</v>
      </c>
    </row>
    <row r="114" spans="1:12" s="107" customFormat="1">
      <c r="A114" s="1062"/>
      <c r="B114" s="1095"/>
      <c r="C114" s="1095"/>
      <c r="D114" s="1098"/>
      <c r="E114" s="1062"/>
      <c r="F114" s="802" t="s">
        <v>14</v>
      </c>
      <c r="G114" s="106">
        <f>G117+G120+G129+G123+G126</f>
        <v>184000</v>
      </c>
      <c r="H114" s="1101"/>
      <c r="I114" s="106">
        <f t="shared" si="10"/>
        <v>184000</v>
      </c>
      <c r="J114" s="106">
        <f t="shared" si="10"/>
        <v>184000</v>
      </c>
      <c r="K114" s="106">
        <f t="shared" si="10"/>
        <v>0</v>
      </c>
      <c r="L114" s="1062"/>
    </row>
    <row r="115" spans="1:12" s="107" customFormat="1">
      <c r="A115" s="1063"/>
      <c r="B115" s="1096"/>
      <c r="C115" s="1096"/>
      <c r="D115" s="1099"/>
      <c r="E115" s="1063"/>
      <c r="F115" s="802" t="s">
        <v>15</v>
      </c>
      <c r="G115" s="106">
        <f>G113+G114</f>
        <v>786000</v>
      </c>
      <c r="H115" s="1102"/>
      <c r="I115" s="106">
        <f>I113+I114</f>
        <v>786000</v>
      </c>
      <c r="J115" s="106">
        <f>J113+J114</f>
        <v>786000</v>
      </c>
      <c r="K115" s="106">
        <f>K113+K114</f>
        <v>0</v>
      </c>
      <c r="L115" s="1063"/>
    </row>
    <row r="116" spans="1:12" s="89" customFormat="1" ht="24.6" hidden="1" customHeight="1">
      <c r="A116" s="1047">
        <v>19</v>
      </c>
      <c r="B116" s="1050"/>
      <c r="C116" s="1050" t="s">
        <v>265</v>
      </c>
      <c r="D116" s="1044" t="s">
        <v>266</v>
      </c>
      <c r="E116" s="1047">
        <v>2021</v>
      </c>
      <c r="F116" s="799" t="s">
        <v>13</v>
      </c>
      <c r="G116" s="108">
        <v>500000</v>
      </c>
      <c r="H116" s="800" t="s">
        <v>220</v>
      </c>
      <c r="I116" s="108">
        <f>J116+K116</f>
        <v>500000</v>
      </c>
      <c r="J116" s="108">
        <v>500000</v>
      </c>
      <c r="K116" s="108">
        <v>0</v>
      </c>
      <c r="L116" s="1044" t="s">
        <v>236</v>
      </c>
    </row>
    <row r="117" spans="1:12" s="89" customFormat="1" ht="24.6" hidden="1" customHeight="1">
      <c r="A117" s="1048"/>
      <c r="B117" s="1051"/>
      <c r="C117" s="1051"/>
      <c r="D117" s="1045"/>
      <c r="E117" s="1048"/>
      <c r="F117" s="799" t="s">
        <v>14</v>
      </c>
      <c r="G117" s="108"/>
      <c r="H117" s="800"/>
      <c r="I117" s="108">
        <f>J117+K117</f>
        <v>0</v>
      </c>
      <c r="J117" s="108"/>
      <c r="K117" s="108"/>
      <c r="L117" s="1045"/>
    </row>
    <row r="118" spans="1:12" s="89" customFormat="1" ht="24.6" hidden="1" customHeight="1">
      <c r="A118" s="1049"/>
      <c r="B118" s="1052"/>
      <c r="C118" s="1052"/>
      <c r="D118" s="1046"/>
      <c r="E118" s="1049"/>
      <c r="F118" s="799" t="s">
        <v>15</v>
      </c>
      <c r="G118" s="108">
        <f>G116+G117</f>
        <v>500000</v>
      </c>
      <c r="H118" s="800"/>
      <c r="I118" s="108">
        <f>I116+I117</f>
        <v>500000</v>
      </c>
      <c r="J118" s="108">
        <f>J116+J117</f>
        <v>500000</v>
      </c>
      <c r="K118" s="108">
        <f>K116+K117</f>
        <v>0</v>
      </c>
      <c r="L118" s="1046"/>
    </row>
    <row r="119" spans="1:12" s="89" customFormat="1" ht="22.15" hidden="1" customHeight="1">
      <c r="A119" s="1047">
        <v>20</v>
      </c>
      <c r="B119" s="1050"/>
      <c r="C119" s="1050" t="s">
        <v>265</v>
      </c>
      <c r="D119" s="1044" t="s">
        <v>267</v>
      </c>
      <c r="E119" s="1047">
        <v>2021</v>
      </c>
      <c r="F119" s="799" t="s">
        <v>13</v>
      </c>
      <c r="G119" s="108">
        <v>20000</v>
      </c>
      <c r="H119" s="1053" t="s">
        <v>220</v>
      </c>
      <c r="I119" s="108">
        <f>J119+K119</f>
        <v>20000</v>
      </c>
      <c r="J119" s="108">
        <v>20000</v>
      </c>
      <c r="K119" s="108"/>
      <c r="L119" s="1044" t="s">
        <v>268</v>
      </c>
    </row>
    <row r="120" spans="1:12" s="89" customFormat="1" ht="22.15" hidden="1" customHeight="1">
      <c r="A120" s="1048"/>
      <c r="B120" s="1051"/>
      <c r="C120" s="1051"/>
      <c r="D120" s="1045"/>
      <c r="E120" s="1048"/>
      <c r="F120" s="799" t="s">
        <v>14</v>
      </c>
      <c r="G120" s="108"/>
      <c r="H120" s="1054"/>
      <c r="I120" s="108">
        <f>J120+K120</f>
        <v>0</v>
      </c>
      <c r="J120" s="108"/>
      <c r="K120" s="108"/>
      <c r="L120" s="1045"/>
    </row>
    <row r="121" spans="1:12" s="89" customFormat="1" ht="22.15" hidden="1" customHeight="1">
      <c r="A121" s="1049"/>
      <c r="B121" s="1052"/>
      <c r="C121" s="1052"/>
      <c r="D121" s="1046"/>
      <c r="E121" s="1049"/>
      <c r="F121" s="799" t="s">
        <v>15</v>
      </c>
      <c r="G121" s="108">
        <f>G119+G120</f>
        <v>20000</v>
      </c>
      <c r="H121" s="1055"/>
      <c r="I121" s="108">
        <f>I119+I120</f>
        <v>20000</v>
      </c>
      <c r="J121" s="108">
        <f>J119+J120</f>
        <v>20000</v>
      </c>
      <c r="K121" s="108">
        <f>K119+K120</f>
        <v>0</v>
      </c>
      <c r="L121" s="1046"/>
    </row>
    <row r="122" spans="1:12" s="89" customFormat="1" ht="22.15" customHeight="1">
      <c r="A122" s="1047">
        <v>6</v>
      </c>
      <c r="B122" s="1050"/>
      <c r="C122" s="1050" t="s">
        <v>265</v>
      </c>
      <c r="D122" s="1044" t="s">
        <v>365</v>
      </c>
      <c r="E122" s="1047">
        <v>2021</v>
      </c>
      <c r="F122" s="799" t="s">
        <v>13</v>
      </c>
      <c r="G122" s="108">
        <v>0</v>
      </c>
      <c r="H122" s="1053" t="s">
        <v>220</v>
      </c>
      <c r="I122" s="108">
        <f>J122+K122</f>
        <v>0</v>
      </c>
      <c r="J122" s="108">
        <v>0</v>
      </c>
      <c r="K122" s="108"/>
      <c r="L122" s="1044" t="s">
        <v>268</v>
      </c>
    </row>
    <row r="123" spans="1:12" s="89" customFormat="1" ht="22.15" customHeight="1">
      <c r="A123" s="1048"/>
      <c r="B123" s="1051"/>
      <c r="C123" s="1051"/>
      <c r="D123" s="1045"/>
      <c r="E123" s="1048"/>
      <c r="F123" s="799" t="s">
        <v>14</v>
      </c>
      <c r="G123" s="108">
        <v>85000</v>
      </c>
      <c r="H123" s="1054"/>
      <c r="I123" s="108">
        <f>J123+K123</f>
        <v>85000</v>
      </c>
      <c r="J123" s="108">
        <v>85000</v>
      </c>
      <c r="K123" s="108"/>
      <c r="L123" s="1045"/>
    </row>
    <row r="124" spans="1:12" s="89" customFormat="1" ht="22.15" customHeight="1">
      <c r="A124" s="1049"/>
      <c r="B124" s="1052"/>
      <c r="C124" s="1052"/>
      <c r="D124" s="1046"/>
      <c r="E124" s="1049"/>
      <c r="F124" s="806" t="s">
        <v>15</v>
      </c>
      <c r="G124" s="108">
        <f>G122+G123</f>
        <v>85000</v>
      </c>
      <c r="H124" s="1055"/>
      <c r="I124" s="108">
        <f>I122+I123</f>
        <v>85000</v>
      </c>
      <c r="J124" s="108">
        <f>J122+J123</f>
        <v>85000</v>
      </c>
      <c r="K124" s="108">
        <f>K122+K123</f>
        <v>0</v>
      </c>
      <c r="L124" s="1046"/>
    </row>
    <row r="125" spans="1:12" s="89" customFormat="1">
      <c r="A125" s="1047">
        <v>7</v>
      </c>
      <c r="B125" s="1050"/>
      <c r="C125" s="1050" t="s">
        <v>265</v>
      </c>
      <c r="D125" s="1044" t="s">
        <v>427</v>
      </c>
      <c r="E125" s="1047">
        <v>2021</v>
      </c>
      <c r="F125" s="799" t="s">
        <v>13</v>
      </c>
      <c r="G125" s="108">
        <v>0</v>
      </c>
      <c r="H125" s="1053" t="s">
        <v>220</v>
      </c>
      <c r="I125" s="108">
        <f>J125+K125</f>
        <v>0</v>
      </c>
      <c r="J125" s="108">
        <v>0</v>
      </c>
      <c r="K125" s="108">
        <v>0</v>
      </c>
      <c r="L125" s="1044" t="s">
        <v>270</v>
      </c>
    </row>
    <row r="126" spans="1:12" s="89" customFormat="1">
      <c r="A126" s="1048"/>
      <c r="B126" s="1051"/>
      <c r="C126" s="1051"/>
      <c r="D126" s="1045"/>
      <c r="E126" s="1048"/>
      <c r="F126" s="799" t="s">
        <v>14</v>
      </c>
      <c r="G126" s="108">
        <v>99000</v>
      </c>
      <c r="H126" s="1054"/>
      <c r="I126" s="108">
        <f>J126+K126</f>
        <v>99000</v>
      </c>
      <c r="J126" s="108">
        <v>99000</v>
      </c>
      <c r="K126" s="108"/>
      <c r="L126" s="1045"/>
    </row>
    <row r="127" spans="1:12" s="89" customFormat="1">
      <c r="A127" s="1049"/>
      <c r="B127" s="1052"/>
      <c r="C127" s="1052"/>
      <c r="D127" s="1046"/>
      <c r="E127" s="1049"/>
      <c r="F127" s="806" t="s">
        <v>15</v>
      </c>
      <c r="G127" s="108">
        <f>G125+G126</f>
        <v>99000</v>
      </c>
      <c r="H127" s="1055"/>
      <c r="I127" s="108">
        <f>I125+I126</f>
        <v>99000</v>
      </c>
      <c r="J127" s="108">
        <f>J125+J126</f>
        <v>99000</v>
      </c>
      <c r="K127" s="108">
        <f>K125+K126</f>
        <v>0</v>
      </c>
      <c r="L127" s="1046"/>
    </row>
    <row r="128" spans="1:12" s="89" customFormat="1" hidden="1">
      <c r="A128" s="1047">
        <v>21</v>
      </c>
      <c r="B128" s="1050"/>
      <c r="C128" s="1050" t="s">
        <v>265</v>
      </c>
      <c r="D128" s="1044" t="s">
        <v>269</v>
      </c>
      <c r="E128" s="1047">
        <v>2021</v>
      </c>
      <c r="F128" s="799" t="s">
        <v>13</v>
      </c>
      <c r="G128" s="108">
        <v>82000</v>
      </c>
      <c r="H128" s="1053" t="s">
        <v>220</v>
      </c>
      <c r="I128" s="108">
        <f>J128+K128</f>
        <v>82000</v>
      </c>
      <c r="J128" s="108">
        <v>82000</v>
      </c>
      <c r="K128" s="108">
        <v>0</v>
      </c>
      <c r="L128" s="1044" t="s">
        <v>270</v>
      </c>
    </row>
    <row r="129" spans="1:12" s="89" customFormat="1" hidden="1">
      <c r="A129" s="1048"/>
      <c r="B129" s="1051"/>
      <c r="C129" s="1051"/>
      <c r="D129" s="1045"/>
      <c r="E129" s="1048"/>
      <c r="F129" s="799" t="s">
        <v>14</v>
      </c>
      <c r="G129" s="108"/>
      <c r="H129" s="1054"/>
      <c r="I129" s="108">
        <f>J129+K129</f>
        <v>0</v>
      </c>
      <c r="J129" s="108"/>
      <c r="K129" s="108"/>
      <c r="L129" s="1045"/>
    </row>
    <row r="130" spans="1:12" s="89" customFormat="1" hidden="1">
      <c r="A130" s="1049"/>
      <c r="B130" s="1052"/>
      <c r="C130" s="1052"/>
      <c r="D130" s="1046"/>
      <c r="E130" s="1049"/>
      <c r="F130" s="799" t="s">
        <v>15</v>
      </c>
      <c r="G130" s="108">
        <f>G128+G129</f>
        <v>82000</v>
      </c>
      <c r="H130" s="1055"/>
      <c r="I130" s="108">
        <f>I128+I129</f>
        <v>82000</v>
      </c>
      <c r="J130" s="108">
        <f>J128+J129</f>
        <v>82000</v>
      </c>
      <c r="K130" s="108">
        <f>K128+K129</f>
        <v>0</v>
      </c>
      <c r="L130" s="1046"/>
    </row>
    <row r="131" spans="1:12" s="107" customFormat="1">
      <c r="A131" s="1061"/>
      <c r="B131" s="1094" t="s">
        <v>271</v>
      </c>
      <c r="C131" s="1094"/>
      <c r="D131" s="1109" t="s">
        <v>39</v>
      </c>
      <c r="E131" s="1061" t="s">
        <v>220</v>
      </c>
      <c r="F131" s="802" t="s">
        <v>13</v>
      </c>
      <c r="G131" s="106">
        <f>G137+G140+G143+G146+G149+G152+G155+G158+G167+G170+G173+G176+G161+G164+G134</f>
        <v>3444214</v>
      </c>
      <c r="H131" s="1100" t="s">
        <v>220</v>
      </c>
      <c r="I131" s="106">
        <f t="shared" ref="I131:K132" si="11">I137+I140+I143+I146+I149+I152+I155+I158+I167+I170+I173+I176+I161+I164+I134</f>
        <v>3444214</v>
      </c>
      <c r="J131" s="106">
        <f t="shared" si="11"/>
        <v>3444214</v>
      </c>
      <c r="K131" s="106">
        <f t="shared" si="11"/>
        <v>0</v>
      </c>
      <c r="L131" s="1061" t="s">
        <v>220</v>
      </c>
    </row>
    <row r="132" spans="1:12" s="107" customFormat="1">
      <c r="A132" s="1062"/>
      <c r="B132" s="1095"/>
      <c r="C132" s="1095"/>
      <c r="D132" s="1110"/>
      <c r="E132" s="1062"/>
      <c r="F132" s="802" t="s">
        <v>14</v>
      </c>
      <c r="G132" s="106">
        <f>G138+G141+G144+G147+G150+G153+G156+G159+G168+G171+G174+G177+G162+G165+G135</f>
        <v>31463</v>
      </c>
      <c r="H132" s="1101"/>
      <c r="I132" s="106">
        <f t="shared" si="11"/>
        <v>31463</v>
      </c>
      <c r="J132" s="106">
        <f t="shared" si="11"/>
        <v>-122537</v>
      </c>
      <c r="K132" s="106">
        <f t="shared" si="11"/>
        <v>154000</v>
      </c>
      <c r="L132" s="1062"/>
    </row>
    <row r="133" spans="1:12" s="107" customFormat="1">
      <c r="A133" s="1063"/>
      <c r="B133" s="1096"/>
      <c r="C133" s="1096"/>
      <c r="D133" s="1111"/>
      <c r="E133" s="1063"/>
      <c r="F133" s="803" t="s">
        <v>15</v>
      </c>
      <c r="G133" s="106">
        <f>G131+G132</f>
        <v>3475677</v>
      </c>
      <c r="H133" s="1102"/>
      <c r="I133" s="106">
        <f>I131+I132</f>
        <v>3475677</v>
      </c>
      <c r="J133" s="106">
        <f>J131+J132</f>
        <v>3321677</v>
      </c>
      <c r="K133" s="106">
        <f>K131+K132</f>
        <v>154000</v>
      </c>
      <c r="L133" s="1063"/>
    </row>
    <row r="134" spans="1:12" s="89" customFormat="1">
      <c r="A134" s="1047">
        <v>8</v>
      </c>
      <c r="B134" s="1050"/>
      <c r="C134" s="1050" t="s">
        <v>367</v>
      </c>
      <c r="D134" s="1044" t="s">
        <v>368</v>
      </c>
      <c r="E134" s="1047">
        <v>2021</v>
      </c>
      <c r="F134" s="799" t="s">
        <v>13</v>
      </c>
      <c r="G134" s="108">
        <v>0</v>
      </c>
      <c r="H134" s="1053" t="s">
        <v>220</v>
      </c>
      <c r="I134" s="108">
        <f>J134+K134</f>
        <v>0</v>
      </c>
      <c r="J134" s="108">
        <v>0</v>
      </c>
      <c r="K134" s="108">
        <v>0</v>
      </c>
      <c r="L134" s="1044" t="s">
        <v>369</v>
      </c>
    </row>
    <row r="135" spans="1:12" s="89" customFormat="1">
      <c r="A135" s="1048"/>
      <c r="B135" s="1051"/>
      <c r="C135" s="1051"/>
      <c r="D135" s="1045"/>
      <c r="E135" s="1048"/>
      <c r="F135" s="799" t="s">
        <v>14</v>
      </c>
      <c r="G135" s="108">
        <v>20000</v>
      </c>
      <c r="H135" s="1054"/>
      <c r="I135" s="108">
        <f>J135+K135</f>
        <v>20000</v>
      </c>
      <c r="J135" s="108"/>
      <c r="K135" s="108">
        <v>20000</v>
      </c>
      <c r="L135" s="1045"/>
    </row>
    <row r="136" spans="1:12" s="89" customFormat="1">
      <c r="A136" s="1049"/>
      <c r="B136" s="1052"/>
      <c r="C136" s="1052"/>
      <c r="D136" s="1046"/>
      <c r="E136" s="1049"/>
      <c r="F136" s="799" t="s">
        <v>15</v>
      </c>
      <c r="G136" s="108">
        <f>G134+G135</f>
        <v>20000</v>
      </c>
      <c r="H136" s="1055"/>
      <c r="I136" s="108">
        <f>I134+I135</f>
        <v>20000</v>
      </c>
      <c r="J136" s="108">
        <f>J134+J135</f>
        <v>0</v>
      </c>
      <c r="K136" s="108">
        <f>K134+K135</f>
        <v>20000</v>
      </c>
      <c r="L136" s="1046"/>
    </row>
    <row r="137" spans="1:12" s="89" customFormat="1" hidden="1">
      <c r="A137" s="1047">
        <v>22</v>
      </c>
      <c r="B137" s="1050"/>
      <c r="C137" s="1050" t="s">
        <v>272</v>
      </c>
      <c r="D137" s="1044" t="s">
        <v>273</v>
      </c>
      <c r="E137" s="1047">
        <v>2021</v>
      </c>
      <c r="F137" s="799" t="s">
        <v>13</v>
      </c>
      <c r="G137" s="108">
        <v>106000</v>
      </c>
      <c r="H137" s="1053" t="s">
        <v>220</v>
      </c>
      <c r="I137" s="108">
        <f t="shared" ref="I137:I177" si="12">J137+K137</f>
        <v>106000</v>
      </c>
      <c r="J137" s="108">
        <v>106000</v>
      </c>
      <c r="K137" s="108">
        <v>0</v>
      </c>
      <c r="L137" s="1044" t="s">
        <v>274</v>
      </c>
    </row>
    <row r="138" spans="1:12" s="89" customFormat="1" hidden="1">
      <c r="A138" s="1048"/>
      <c r="B138" s="1051"/>
      <c r="C138" s="1051"/>
      <c r="D138" s="1045"/>
      <c r="E138" s="1048"/>
      <c r="F138" s="799" t="s">
        <v>14</v>
      </c>
      <c r="G138" s="108"/>
      <c r="H138" s="1054"/>
      <c r="I138" s="108">
        <f t="shared" si="12"/>
        <v>0</v>
      </c>
      <c r="J138" s="108"/>
      <c r="K138" s="108"/>
      <c r="L138" s="1045"/>
    </row>
    <row r="139" spans="1:12" s="89" customFormat="1" hidden="1">
      <c r="A139" s="1049"/>
      <c r="B139" s="1052"/>
      <c r="C139" s="1052"/>
      <c r="D139" s="1046"/>
      <c r="E139" s="1049"/>
      <c r="F139" s="799" t="s">
        <v>15</v>
      </c>
      <c r="G139" s="108">
        <f>G137+G138</f>
        <v>106000</v>
      </c>
      <c r="H139" s="1055"/>
      <c r="I139" s="108">
        <f>I137+I138</f>
        <v>106000</v>
      </c>
      <c r="J139" s="108">
        <f>J137+J138</f>
        <v>106000</v>
      </c>
      <c r="K139" s="108">
        <f>K137+K138</f>
        <v>0</v>
      </c>
      <c r="L139" s="1046"/>
    </row>
    <row r="140" spans="1:12" s="89" customFormat="1" hidden="1">
      <c r="A140" s="1047">
        <v>23</v>
      </c>
      <c r="B140" s="1050"/>
      <c r="C140" s="1050" t="s">
        <v>272</v>
      </c>
      <c r="D140" s="1044" t="s">
        <v>275</v>
      </c>
      <c r="E140" s="1047">
        <v>2021</v>
      </c>
      <c r="F140" s="799" t="s">
        <v>13</v>
      </c>
      <c r="G140" s="108">
        <v>576000</v>
      </c>
      <c r="H140" s="1053" t="s">
        <v>220</v>
      </c>
      <c r="I140" s="108">
        <f t="shared" si="12"/>
        <v>576000</v>
      </c>
      <c r="J140" s="108">
        <v>576000</v>
      </c>
      <c r="K140" s="108">
        <v>0</v>
      </c>
      <c r="L140" s="1044" t="s">
        <v>274</v>
      </c>
    </row>
    <row r="141" spans="1:12" s="89" customFormat="1" hidden="1">
      <c r="A141" s="1048"/>
      <c r="B141" s="1051"/>
      <c r="C141" s="1051"/>
      <c r="D141" s="1045"/>
      <c r="E141" s="1048"/>
      <c r="F141" s="799" t="s">
        <v>14</v>
      </c>
      <c r="G141" s="108"/>
      <c r="H141" s="1054"/>
      <c r="I141" s="108">
        <f t="shared" si="12"/>
        <v>0</v>
      </c>
      <c r="J141" s="108"/>
      <c r="K141" s="108"/>
      <c r="L141" s="1045"/>
    </row>
    <row r="142" spans="1:12" s="89" customFormat="1" hidden="1">
      <c r="A142" s="1049"/>
      <c r="B142" s="1052"/>
      <c r="C142" s="1052"/>
      <c r="D142" s="1046"/>
      <c r="E142" s="1049"/>
      <c r="F142" s="799" t="s">
        <v>15</v>
      </c>
      <c r="G142" s="108">
        <f>G140+G141</f>
        <v>576000</v>
      </c>
      <c r="H142" s="1055"/>
      <c r="I142" s="108">
        <f>I140+I141</f>
        <v>576000</v>
      </c>
      <c r="J142" s="108">
        <f>J140+J141</f>
        <v>576000</v>
      </c>
      <c r="K142" s="108">
        <f>K140+K141</f>
        <v>0</v>
      </c>
      <c r="L142" s="1046"/>
    </row>
    <row r="143" spans="1:12" s="89" customFormat="1" hidden="1">
      <c r="A143" s="1047">
        <v>24</v>
      </c>
      <c r="B143" s="1050"/>
      <c r="C143" s="1050" t="s">
        <v>272</v>
      </c>
      <c r="D143" s="1044" t="s">
        <v>276</v>
      </c>
      <c r="E143" s="1047">
        <v>2021</v>
      </c>
      <c r="F143" s="799" t="s">
        <v>13</v>
      </c>
      <c r="G143" s="108">
        <v>1722000</v>
      </c>
      <c r="H143" s="1053" t="s">
        <v>220</v>
      </c>
      <c r="I143" s="108">
        <f t="shared" si="12"/>
        <v>1722000</v>
      </c>
      <c r="J143" s="108">
        <v>1722000</v>
      </c>
      <c r="K143" s="108">
        <v>0</v>
      </c>
      <c r="L143" s="1044" t="s">
        <v>274</v>
      </c>
    </row>
    <row r="144" spans="1:12" s="89" customFormat="1" hidden="1">
      <c r="A144" s="1048"/>
      <c r="B144" s="1051"/>
      <c r="C144" s="1051"/>
      <c r="D144" s="1045"/>
      <c r="E144" s="1048"/>
      <c r="F144" s="799" t="s">
        <v>14</v>
      </c>
      <c r="G144" s="108"/>
      <c r="H144" s="1054"/>
      <c r="I144" s="108">
        <f t="shared" si="12"/>
        <v>0</v>
      </c>
      <c r="J144" s="108"/>
      <c r="K144" s="108"/>
      <c r="L144" s="1045"/>
    </row>
    <row r="145" spans="1:12" s="89" customFormat="1" hidden="1">
      <c r="A145" s="1049"/>
      <c r="B145" s="1052"/>
      <c r="C145" s="1052"/>
      <c r="D145" s="1046"/>
      <c r="E145" s="1049"/>
      <c r="F145" s="799" t="s">
        <v>15</v>
      </c>
      <c r="G145" s="108">
        <f>G143+G144</f>
        <v>1722000</v>
      </c>
      <c r="H145" s="1055"/>
      <c r="I145" s="108">
        <f>I143+I144</f>
        <v>1722000</v>
      </c>
      <c r="J145" s="108">
        <f>J143+J144</f>
        <v>1722000</v>
      </c>
      <c r="K145" s="108">
        <f>K143+K144</f>
        <v>0</v>
      </c>
      <c r="L145" s="1046"/>
    </row>
    <row r="146" spans="1:12" s="89" customFormat="1" hidden="1">
      <c r="A146" s="1047">
        <v>25</v>
      </c>
      <c r="B146" s="1050"/>
      <c r="C146" s="1050" t="s">
        <v>277</v>
      </c>
      <c r="D146" s="1044" t="s">
        <v>244</v>
      </c>
      <c r="E146" s="1047">
        <v>2021</v>
      </c>
      <c r="F146" s="799" t="s">
        <v>13</v>
      </c>
      <c r="G146" s="108">
        <v>171200</v>
      </c>
      <c r="H146" s="1053" t="s">
        <v>220</v>
      </c>
      <c r="I146" s="108">
        <f t="shared" si="12"/>
        <v>171200</v>
      </c>
      <c r="J146" s="108">
        <v>171200</v>
      </c>
      <c r="K146" s="108">
        <v>0</v>
      </c>
      <c r="L146" s="1044" t="s">
        <v>278</v>
      </c>
    </row>
    <row r="147" spans="1:12" s="89" customFormat="1" hidden="1">
      <c r="A147" s="1048"/>
      <c r="B147" s="1051"/>
      <c r="C147" s="1051"/>
      <c r="D147" s="1045"/>
      <c r="E147" s="1048"/>
      <c r="F147" s="799" t="s">
        <v>14</v>
      </c>
      <c r="G147" s="108"/>
      <c r="H147" s="1054"/>
      <c r="I147" s="108">
        <f t="shared" si="12"/>
        <v>0</v>
      </c>
      <c r="J147" s="108"/>
      <c r="K147" s="108"/>
      <c r="L147" s="1045"/>
    </row>
    <row r="148" spans="1:12" s="89" customFormat="1" hidden="1">
      <c r="A148" s="1049"/>
      <c r="B148" s="1052"/>
      <c r="C148" s="1052"/>
      <c r="D148" s="1046"/>
      <c r="E148" s="1049"/>
      <c r="F148" s="799" t="s">
        <v>15</v>
      </c>
      <c r="G148" s="108">
        <f>G146+G147</f>
        <v>171200</v>
      </c>
      <c r="H148" s="1055"/>
      <c r="I148" s="108">
        <f>I146+I147</f>
        <v>171200</v>
      </c>
      <c r="J148" s="108">
        <f>J146+J147</f>
        <v>171200</v>
      </c>
      <c r="K148" s="108">
        <f>K146+K147</f>
        <v>0</v>
      </c>
      <c r="L148" s="1046"/>
    </row>
    <row r="149" spans="1:12" s="89" customFormat="1">
      <c r="A149" s="1047">
        <v>9</v>
      </c>
      <c r="B149" s="1050"/>
      <c r="C149" s="1050" t="s">
        <v>277</v>
      </c>
      <c r="D149" s="1044" t="s">
        <v>244</v>
      </c>
      <c r="E149" s="1047">
        <v>2021</v>
      </c>
      <c r="F149" s="799" t="s">
        <v>13</v>
      </c>
      <c r="G149" s="108">
        <v>16858</v>
      </c>
      <c r="H149" s="1053" t="s">
        <v>220</v>
      </c>
      <c r="I149" s="108">
        <f t="shared" si="12"/>
        <v>16858</v>
      </c>
      <c r="J149" s="108">
        <v>16858</v>
      </c>
      <c r="K149" s="108">
        <v>0</v>
      </c>
      <c r="L149" s="1044" t="s">
        <v>279</v>
      </c>
    </row>
    <row r="150" spans="1:12" s="89" customFormat="1">
      <c r="A150" s="1048"/>
      <c r="B150" s="1051"/>
      <c r="C150" s="1051"/>
      <c r="D150" s="1045"/>
      <c r="E150" s="1048"/>
      <c r="F150" s="799" t="s">
        <v>14</v>
      </c>
      <c r="G150" s="108">
        <v>28059</v>
      </c>
      <c r="H150" s="1054"/>
      <c r="I150" s="108">
        <f t="shared" si="12"/>
        <v>28059</v>
      </c>
      <c r="J150" s="108">
        <v>28059</v>
      </c>
      <c r="K150" s="108"/>
      <c r="L150" s="1045"/>
    </row>
    <row r="151" spans="1:12" s="89" customFormat="1">
      <c r="A151" s="1049"/>
      <c r="B151" s="1052"/>
      <c r="C151" s="1052"/>
      <c r="D151" s="1046"/>
      <c r="E151" s="1049"/>
      <c r="F151" s="799" t="s">
        <v>15</v>
      </c>
      <c r="G151" s="108">
        <f>G149+G150</f>
        <v>44917</v>
      </c>
      <c r="H151" s="1055"/>
      <c r="I151" s="108">
        <f>I149+I150</f>
        <v>44917</v>
      </c>
      <c r="J151" s="108">
        <f>J149+J150</f>
        <v>44917</v>
      </c>
      <c r="K151" s="108">
        <f>K149+K150</f>
        <v>0</v>
      </c>
      <c r="L151" s="1046"/>
    </row>
    <row r="152" spans="1:12" s="89" customFormat="1" hidden="1">
      <c r="A152" s="1047">
        <v>27</v>
      </c>
      <c r="B152" s="1050"/>
      <c r="C152" s="1050" t="s">
        <v>280</v>
      </c>
      <c r="D152" s="1044" t="s">
        <v>281</v>
      </c>
      <c r="E152" s="1047">
        <v>2021</v>
      </c>
      <c r="F152" s="799" t="s">
        <v>13</v>
      </c>
      <c r="G152" s="108">
        <v>59000</v>
      </c>
      <c r="H152" s="1053" t="s">
        <v>220</v>
      </c>
      <c r="I152" s="108">
        <f t="shared" si="12"/>
        <v>59000</v>
      </c>
      <c r="J152" s="108">
        <v>59000</v>
      </c>
      <c r="K152" s="108">
        <v>0</v>
      </c>
      <c r="L152" s="1044" t="s">
        <v>282</v>
      </c>
    </row>
    <row r="153" spans="1:12" s="89" customFormat="1" hidden="1">
      <c r="A153" s="1048"/>
      <c r="B153" s="1051"/>
      <c r="C153" s="1051"/>
      <c r="D153" s="1045"/>
      <c r="E153" s="1048"/>
      <c r="F153" s="799" t="s">
        <v>14</v>
      </c>
      <c r="G153" s="108"/>
      <c r="H153" s="1054"/>
      <c r="I153" s="108">
        <f t="shared" si="12"/>
        <v>0</v>
      </c>
      <c r="J153" s="108"/>
      <c r="K153" s="108"/>
      <c r="L153" s="1045"/>
    </row>
    <row r="154" spans="1:12" s="89" customFormat="1" hidden="1">
      <c r="A154" s="1049"/>
      <c r="B154" s="1052"/>
      <c r="C154" s="1052"/>
      <c r="D154" s="1046"/>
      <c r="E154" s="1049"/>
      <c r="F154" s="799" t="s">
        <v>15</v>
      </c>
      <c r="G154" s="108">
        <f>G152+G153</f>
        <v>59000</v>
      </c>
      <c r="H154" s="1055"/>
      <c r="I154" s="108">
        <f>I152+I153</f>
        <v>59000</v>
      </c>
      <c r="J154" s="108">
        <f>J152+J153</f>
        <v>59000</v>
      </c>
      <c r="K154" s="108">
        <f>K152+K153</f>
        <v>0</v>
      </c>
      <c r="L154" s="1046"/>
    </row>
    <row r="155" spans="1:12" s="89" customFormat="1" hidden="1">
      <c r="A155" s="1047">
        <v>28</v>
      </c>
      <c r="B155" s="1050"/>
      <c r="C155" s="1050" t="s">
        <v>283</v>
      </c>
      <c r="D155" s="1044" t="s">
        <v>284</v>
      </c>
      <c r="E155" s="1047">
        <v>2021</v>
      </c>
      <c r="F155" s="799" t="s">
        <v>13</v>
      </c>
      <c r="G155" s="108">
        <v>25000</v>
      </c>
      <c r="H155" s="1053" t="s">
        <v>220</v>
      </c>
      <c r="I155" s="108">
        <f t="shared" si="12"/>
        <v>25000</v>
      </c>
      <c r="J155" s="108">
        <v>25000</v>
      </c>
      <c r="K155" s="108"/>
      <c r="L155" s="1044" t="s">
        <v>285</v>
      </c>
    </row>
    <row r="156" spans="1:12" s="89" customFormat="1" hidden="1">
      <c r="A156" s="1048"/>
      <c r="B156" s="1051"/>
      <c r="C156" s="1051"/>
      <c r="D156" s="1045"/>
      <c r="E156" s="1048"/>
      <c r="F156" s="799" t="s">
        <v>14</v>
      </c>
      <c r="G156" s="108"/>
      <c r="H156" s="1054"/>
      <c r="I156" s="108">
        <f t="shared" si="12"/>
        <v>0</v>
      </c>
      <c r="J156" s="108"/>
      <c r="K156" s="108"/>
      <c r="L156" s="1045"/>
    </row>
    <row r="157" spans="1:12" s="89" customFormat="1" hidden="1">
      <c r="A157" s="1049"/>
      <c r="B157" s="1052"/>
      <c r="C157" s="1052"/>
      <c r="D157" s="1046"/>
      <c r="E157" s="1049"/>
      <c r="F157" s="799" t="s">
        <v>15</v>
      </c>
      <c r="G157" s="108">
        <f>G155+G156</f>
        <v>25000</v>
      </c>
      <c r="H157" s="1055"/>
      <c r="I157" s="108">
        <f>I155+I156</f>
        <v>25000</v>
      </c>
      <c r="J157" s="108">
        <f>J155+J156</f>
        <v>25000</v>
      </c>
      <c r="K157" s="108">
        <f>K155+K156</f>
        <v>0</v>
      </c>
      <c r="L157" s="1046"/>
    </row>
    <row r="158" spans="1:12" s="89" customFormat="1" hidden="1">
      <c r="A158" s="1047">
        <v>29</v>
      </c>
      <c r="B158" s="1050"/>
      <c r="C158" s="1050" t="s">
        <v>283</v>
      </c>
      <c r="D158" s="1044" t="s">
        <v>286</v>
      </c>
      <c r="E158" s="1047">
        <v>2021</v>
      </c>
      <c r="F158" s="799" t="s">
        <v>13</v>
      </c>
      <c r="G158" s="108">
        <v>25500</v>
      </c>
      <c r="H158" s="1053" t="s">
        <v>220</v>
      </c>
      <c r="I158" s="108">
        <f t="shared" si="12"/>
        <v>25500</v>
      </c>
      <c r="J158" s="108">
        <v>25500</v>
      </c>
      <c r="K158" s="108">
        <v>0</v>
      </c>
      <c r="L158" s="1044" t="s">
        <v>287</v>
      </c>
    </row>
    <row r="159" spans="1:12" s="89" customFormat="1" hidden="1">
      <c r="A159" s="1048"/>
      <c r="B159" s="1051"/>
      <c r="C159" s="1051"/>
      <c r="D159" s="1045"/>
      <c r="E159" s="1048"/>
      <c r="F159" s="799" t="s">
        <v>14</v>
      </c>
      <c r="G159" s="108"/>
      <c r="H159" s="1054"/>
      <c r="I159" s="108">
        <f t="shared" si="12"/>
        <v>0</v>
      </c>
      <c r="J159" s="108"/>
      <c r="K159" s="108"/>
      <c r="L159" s="1045"/>
    </row>
    <row r="160" spans="1:12" s="89" customFormat="1" hidden="1">
      <c r="A160" s="1049"/>
      <c r="B160" s="1052"/>
      <c r="C160" s="1052"/>
      <c r="D160" s="1046"/>
      <c r="E160" s="1049"/>
      <c r="F160" s="799" t="s">
        <v>15</v>
      </c>
      <c r="G160" s="108">
        <f>G158+G159</f>
        <v>25500</v>
      </c>
      <c r="H160" s="1055"/>
      <c r="I160" s="108">
        <f>I158+I159</f>
        <v>25500</v>
      </c>
      <c r="J160" s="108">
        <f>J158+J159</f>
        <v>25500</v>
      </c>
      <c r="K160" s="108">
        <f>K158+K159</f>
        <v>0</v>
      </c>
      <c r="L160" s="1046"/>
    </row>
    <row r="161" spans="1:12" s="89" customFormat="1" ht="20.45" customHeight="1">
      <c r="A161" s="1047">
        <v>10</v>
      </c>
      <c r="B161" s="1050"/>
      <c r="C161" s="1050" t="s">
        <v>283</v>
      </c>
      <c r="D161" s="1044" t="s">
        <v>357</v>
      </c>
      <c r="E161" s="1047">
        <v>2021</v>
      </c>
      <c r="F161" s="799" t="s">
        <v>13</v>
      </c>
      <c r="G161" s="108">
        <v>0</v>
      </c>
      <c r="H161" s="1053" t="s">
        <v>220</v>
      </c>
      <c r="I161" s="108">
        <f>J161+K161</f>
        <v>0</v>
      </c>
      <c r="J161" s="108">
        <v>0</v>
      </c>
      <c r="K161" s="108">
        <v>0</v>
      </c>
      <c r="L161" s="1044" t="s">
        <v>287</v>
      </c>
    </row>
    <row r="162" spans="1:12" s="89" customFormat="1" ht="20.45" customHeight="1">
      <c r="A162" s="1048"/>
      <c r="B162" s="1051"/>
      <c r="C162" s="1051"/>
      <c r="D162" s="1045"/>
      <c r="E162" s="1048"/>
      <c r="F162" s="799" t="s">
        <v>14</v>
      </c>
      <c r="G162" s="108">
        <v>21400</v>
      </c>
      <c r="H162" s="1054"/>
      <c r="I162" s="108">
        <f>J162+K162</f>
        <v>21400</v>
      </c>
      <c r="J162" s="108">
        <v>21400</v>
      </c>
      <c r="K162" s="108"/>
      <c r="L162" s="1045"/>
    </row>
    <row r="163" spans="1:12" s="89" customFormat="1" ht="20.45" customHeight="1">
      <c r="A163" s="1049"/>
      <c r="B163" s="1052"/>
      <c r="C163" s="1052"/>
      <c r="D163" s="1046"/>
      <c r="E163" s="1049"/>
      <c r="F163" s="799" t="s">
        <v>15</v>
      </c>
      <c r="G163" s="108">
        <f>G161+G162</f>
        <v>21400</v>
      </c>
      <c r="H163" s="1055"/>
      <c r="I163" s="108">
        <f>I161+I162</f>
        <v>21400</v>
      </c>
      <c r="J163" s="108">
        <f>J161+J162</f>
        <v>21400</v>
      </c>
      <c r="K163" s="108">
        <f>K161+K162</f>
        <v>0</v>
      </c>
      <c r="L163" s="1046"/>
    </row>
    <row r="164" spans="1:12" s="89" customFormat="1" ht="13.15" customHeight="1">
      <c r="A164" s="1047">
        <v>11</v>
      </c>
      <c r="B164" s="1050"/>
      <c r="C164" s="1050" t="s">
        <v>283</v>
      </c>
      <c r="D164" s="1044" t="s">
        <v>366</v>
      </c>
      <c r="E164" s="1047">
        <v>2021</v>
      </c>
      <c r="F164" s="799" t="s">
        <v>13</v>
      </c>
      <c r="G164" s="108">
        <v>0</v>
      </c>
      <c r="H164" s="1053" t="s">
        <v>220</v>
      </c>
      <c r="I164" s="108">
        <f>J164+K164</f>
        <v>0</v>
      </c>
      <c r="J164" s="108">
        <v>0</v>
      </c>
      <c r="K164" s="108">
        <v>0</v>
      </c>
      <c r="L164" s="1044" t="s">
        <v>285</v>
      </c>
    </row>
    <row r="165" spans="1:12" s="89" customFormat="1">
      <c r="A165" s="1048"/>
      <c r="B165" s="1051"/>
      <c r="C165" s="1051"/>
      <c r="D165" s="1045"/>
      <c r="E165" s="1048"/>
      <c r="F165" s="799" t="s">
        <v>14</v>
      </c>
      <c r="G165" s="108">
        <v>134000</v>
      </c>
      <c r="H165" s="1054"/>
      <c r="I165" s="108">
        <f>J165+K165</f>
        <v>134000</v>
      </c>
      <c r="J165" s="108"/>
      <c r="K165" s="108">
        <v>134000</v>
      </c>
      <c r="L165" s="1045"/>
    </row>
    <row r="166" spans="1:12" s="89" customFormat="1">
      <c r="A166" s="1049"/>
      <c r="B166" s="1052"/>
      <c r="C166" s="1052"/>
      <c r="D166" s="1046"/>
      <c r="E166" s="1049"/>
      <c r="F166" s="799" t="s">
        <v>15</v>
      </c>
      <c r="G166" s="108">
        <f>G164+G165</f>
        <v>134000</v>
      </c>
      <c r="H166" s="1055"/>
      <c r="I166" s="108">
        <f>I164+I165</f>
        <v>134000</v>
      </c>
      <c r="J166" s="108">
        <f>J164+J165</f>
        <v>0</v>
      </c>
      <c r="K166" s="108">
        <f>K164+K165</f>
        <v>134000</v>
      </c>
      <c r="L166" s="1046"/>
    </row>
    <row r="167" spans="1:12" s="89" customFormat="1" hidden="1">
      <c r="A167" s="1047">
        <v>30</v>
      </c>
      <c r="B167" s="1050"/>
      <c r="C167" s="1050" t="s">
        <v>288</v>
      </c>
      <c r="D167" s="1044" t="s">
        <v>289</v>
      </c>
      <c r="E167" s="1047">
        <v>2021</v>
      </c>
      <c r="F167" s="799" t="s">
        <v>13</v>
      </c>
      <c r="G167" s="108">
        <v>150000</v>
      </c>
      <c r="H167" s="1053" t="s">
        <v>220</v>
      </c>
      <c r="I167" s="108">
        <f t="shared" si="12"/>
        <v>150000</v>
      </c>
      <c r="J167" s="108">
        <v>150000</v>
      </c>
      <c r="K167" s="108">
        <v>0</v>
      </c>
      <c r="L167" s="1044" t="s">
        <v>290</v>
      </c>
    </row>
    <row r="168" spans="1:12" s="89" customFormat="1" hidden="1">
      <c r="A168" s="1048"/>
      <c r="B168" s="1051"/>
      <c r="C168" s="1051"/>
      <c r="D168" s="1045"/>
      <c r="E168" s="1048"/>
      <c r="F168" s="799" t="s">
        <v>14</v>
      </c>
      <c r="G168" s="108"/>
      <c r="H168" s="1054"/>
      <c r="I168" s="108">
        <f t="shared" si="12"/>
        <v>0</v>
      </c>
      <c r="J168" s="108"/>
      <c r="K168" s="108"/>
      <c r="L168" s="1045"/>
    </row>
    <row r="169" spans="1:12" s="89" customFormat="1" hidden="1">
      <c r="A169" s="1049"/>
      <c r="B169" s="1052"/>
      <c r="C169" s="1052"/>
      <c r="D169" s="1046"/>
      <c r="E169" s="1049"/>
      <c r="F169" s="799" t="s">
        <v>15</v>
      </c>
      <c r="G169" s="108">
        <f>G167+G168</f>
        <v>150000</v>
      </c>
      <c r="H169" s="1055"/>
      <c r="I169" s="108">
        <f>I167+I168</f>
        <v>150000</v>
      </c>
      <c r="J169" s="108">
        <f>J167+J168</f>
        <v>150000</v>
      </c>
      <c r="K169" s="108">
        <f>K167+K168</f>
        <v>0</v>
      </c>
      <c r="L169" s="1046"/>
    </row>
    <row r="170" spans="1:12" s="89" customFormat="1">
      <c r="A170" s="1047">
        <v>12</v>
      </c>
      <c r="B170" s="1050"/>
      <c r="C170" s="1050" t="s">
        <v>288</v>
      </c>
      <c r="D170" s="1044" t="s">
        <v>291</v>
      </c>
      <c r="E170" s="1047">
        <v>2021</v>
      </c>
      <c r="F170" s="799" t="s">
        <v>13</v>
      </c>
      <c r="G170" s="108">
        <v>171996</v>
      </c>
      <c r="H170" s="1053" t="s">
        <v>220</v>
      </c>
      <c r="I170" s="108">
        <f t="shared" si="12"/>
        <v>171996</v>
      </c>
      <c r="J170" s="108">
        <v>171996</v>
      </c>
      <c r="K170" s="108">
        <v>0</v>
      </c>
      <c r="L170" s="1044" t="s">
        <v>292</v>
      </c>
    </row>
    <row r="171" spans="1:12" s="89" customFormat="1">
      <c r="A171" s="1048"/>
      <c r="B171" s="1051"/>
      <c r="C171" s="1051"/>
      <c r="D171" s="1045"/>
      <c r="E171" s="1048"/>
      <c r="F171" s="799" t="s">
        <v>14</v>
      </c>
      <c r="G171" s="108">
        <v>-171996</v>
      </c>
      <c r="H171" s="1054"/>
      <c r="I171" s="108">
        <f t="shared" si="12"/>
        <v>-171996</v>
      </c>
      <c r="J171" s="108">
        <v>-171996</v>
      </c>
      <c r="K171" s="108"/>
      <c r="L171" s="1045"/>
    </row>
    <row r="172" spans="1:12" s="89" customFormat="1">
      <c r="A172" s="1049"/>
      <c r="B172" s="1052"/>
      <c r="C172" s="1052"/>
      <c r="D172" s="1046"/>
      <c r="E172" s="1049"/>
      <c r="F172" s="799" t="s">
        <v>15</v>
      </c>
      <c r="G172" s="108">
        <f>G170+G171</f>
        <v>0</v>
      </c>
      <c r="H172" s="1055"/>
      <c r="I172" s="108">
        <f>I170+I171</f>
        <v>0</v>
      </c>
      <c r="J172" s="108">
        <f>J170+J171</f>
        <v>0</v>
      </c>
      <c r="K172" s="108">
        <f>K170+K171</f>
        <v>0</v>
      </c>
      <c r="L172" s="1046"/>
    </row>
    <row r="173" spans="1:12" s="89" customFormat="1" hidden="1">
      <c r="A173" s="1047">
        <v>32</v>
      </c>
      <c r="B173" s="1050"/>
      <c r="C173" s="1050" t="s">
        <v>288</v>
      </c>
      <c r="D173" s="1044" t="s">
        <v>293</v>
      </c>
      <c r="E173" s="1047">
        <v>2021</v>
      </c>
      <c r="F173" s="799" t="s">
        <v>13</v>
      </c>
      <c r="G173" s="108">
        <v>170660</v>
      </c>
      <c r="H173" s="1053" t="s">
        <v>220</v>
      </c>
      <c r="I173" s="108">
        <f>J173+K173</f>
        <v>170660</v>
      </c>
      <c r="J173" s="108">
        <v>170660</v>
      </c>
      <c r="K173" s="108">
        <v>0</v>
      </c>
      <c r="L173" s="1044" t="s">
        <v>292</v>
      </c>
    </row>
    <row r="174" spans="1:12" s="89" customFormat="1" hidden="1">
      <c r="A174" s="1048"/>
      <c r="B174" s="1051"/>
      <c r="C174" s="1051"/>
      <c r="D174" s="1045"/>
      <c r="E174" s="1048"/>
      <c r="F174" s="799" t="s">
        <v>14</v>
      </c>
      <c r="G174" s="108"/>
      <c r="H174" s="1054"/>
      <c r="I174" s="108">
        <f>J174+K174</f>
        <v>0</v>
      </c>
      <c r="J174" s="108"/>
      <c r="K174" s="108"/>
      <c r="L174" s="1045"/>
    </row>
    <row r="175" spans="1:12" s="89" customFormat="1" hidden="1">
      <c r="A175" s="1049"/>
      <c r="B175" s="1052"/>
      <c r="C175" s="1052"/>
      <c r="D175" s="1046"/>
      <c r="E175" s="1049"/>
      <c r="F175" s="799" t="s">
        <v>15</v>
      </c>
      <c r="G175" s="108">
        <f>G173+G174</f>
        <v>170660</v>
      </c>
      <c r="H175" s="1055"/>
      <c r="I175" s="108">
        <f>I173+I174</f>
        <v>170660</v>
      </c>
      <c r="J175" s="108">
        <f>J173+J174</f>
        <v>170660</v>
      </c>
      <c r="K175" s="108">
        <f>K173+K174</f>
        <v>0</v>
      </c>
      <c r="L175" s="1046"/>
    </row>
    <row r="176" spans="1:12" s="89" customFormat="1" hidden="1">
      <c r="A176" s="1047">
        <v>33</v>
      </c>
      <c r="B176" s="1050"/>
      <c r="C176" s="1050" t="s">
        <v>294</v>
      </c>
      <c r="D176" s="1044" t="s">
        <v>295</v>
      </c>
      <c r="E176" s="1047">
        <v>2021</v>
      </c>
      <c r="F176" s="799" t="s">
        <v>13</v>
      </c>
      <c r="G176" s="108">
        <v>250000</v>
      </c>
      <c r="H176" s="1053" t="s">
        <v>220</v>
      </c>
      <c r="I176" s="108">
        <f t="shared" si="12"/>
        <v>250000</v>
      </c>
      <c r="J176" s="108">
        <v>250000</v>
      </c>
      <c r="K176" s="108">
        <v>0</v>
      </c>
      <c r="L176" s="1044" t="s">
        <v>236</v>
      </c>
    </row>
    <row r="177" spans="1:12" s="89" customFormat="1" hidden="1">
      <c r="A177" s="1048"/>
      <c r="B177" s="1051"/>
      <c r="C177" s="1051"/>
      <c r="D177" s="1045"/>
      <c r="E177" s="1048"/>
      <c r="F177" s="799" t="s">
        <v>14</v>
      </c>
      <c r="G177" s="108"/>
      <c r="H177" s="1054"/>
      <c r="I177" s="108">
        <f t="shared" si="12"/>
        <v>0</v>
      </c>
      <c r="J177" s="108"/>
      <c r="K177" s="108"/>
      <c r="L177" s="1045"/>
    </row>
    <row r="178" spans="1:12" s="89" customFormat="1" hidden="1">
      <c r="A178" s="1049"/>
      <c r="B178" s="1052"/>
      <c r="C178" s="1052"/>
      <c r="D178" s="1046"/>
      <c r="E178" s="1049"/>
      <c r="F178" s="799" t="s">
        <v>15</v>
      </c>
      <c r="G178" s="108">
        <f>G176+G177</f>
        <v>250000</v>
      </c>
      <c r="H178" s="1055"/>
      <c r="I178" s="108">
        <f>I176+I177</f>
        <v>250000</v>
      </c>
      <c r="J178" s="108">
        <f>J176+J177</f>
        <v>250000</v>
      </c>
      <c r="K178" s="108">
        <f>K176+K177</f>
        <v>0</v>
      </c>
      <c r="L178" s="1046"/>
    </row>
    <row r="179" spans="1:12" s="107" customFormat="1" hidden="1">
      <c r="A179" s="1061"/>
      <c r="B179" s="1094" t="s">
        <v>296</v>
      </c>
      <c r="C179" s="1094"/>
      <c r="D179" s="1109" t="s">
        <v>297</v>
      </c>
      <c r="E179" s="1061" t="s">
        <v>220</v>
      </c>
      <c r="F179" s="802" t="s">
        <v>13</v>
      </c>
      <c r="G179" s="106">
        <f>G182</f>
        <v>2000000</v>
      </c>
      <c r="H179" s="1100" t="str">
        <f>H182</f>
        <v>x</v>
      </c>
      <c r="I179" s="106">
        <f>I182</f>
        <v>2000000</v>
      </c>
      <c r="J179" s="106">
        <f>J182</f>
        <v>2000000</v>
      </c>
      <c r="K179" s="106">
        <f>K182</f>
        <v>0</v>
      </c>
      <c r="L179" s="1061" t="s">
        <v>220</v>
      </c>
    </row>
    <row r="180" spans="1:12" s="107" customFormat="1" hidden="1">
      <c r="A180" s="1062"/>
      <c r="B180" s="1095"/>
      <c r="C180" s="1095"/>
      <c r="D180" s="1110"/>
      <c r="E180" s="1062"/>
      <c r="F180" s="802" t="s">
        <v>14</v>
      </c>
      <c r="G180" s="106">
        <f>G183</f>
        <v>0</v>
      </c>
      <c r="H180" s="1101"/>
      <c r="I180" s="106">
        <f>I183</f>
        <v>0</v>
      </c>
      <c r="J180" s="106">
        <f>J183</f>
        <v>0</v>
      </c>
      <c r="K180" s="106">
        <f>K183</f>
        <v>0</v>
      </c>
      <c r="L180" s="1062"/>
    </row>
    <row r="181" spans="1:12" s="107" customFormat="1" hidden="1">
      <c r="A181" s="1063"/>
      <c r="B181" s="1096"/>
      <c r="C181" s="1096"/>
      <c r="D181" s="1111"/>
      <c r="E181" s="1063"/>
      <c r="F181" s="802" t="s">
        <v>15</v>
      </c>
      <c r="G181" s="106">
        <f>G179+G180</f>
        <v>2000000</v>
      </c>
      <c r="H181" s="1102"/>
      <c r="I181" s="106">
        <f>I179+I180</f>
        <v>2000000</v>
      </c>
      <c r="J181" s="106">
        <f>J179+J180</f>
        <v>2000000</v>
      </c>
      <c r="K181" s="106">
        <f>K179+K180</f>
        <v>0</v>
      </c>
      <c r="L181" s="1063"/>
    </row>
    <row r="182" spans="1:12" s="89" customFormat="1" hidden="1">
      <c r="A182" s="1047">
        <v>34</v>
      </c>
      <c r="B182" s="1050"/>
      <c r="C182" s="1050" t="s">
        <v>298</v>
      </c>
      <c r="D182" s="1044" t="s">
        <v>299</v>
      </c>
      <c r="E182" s="1047">
        <v>2021</v>
      </c>
      <c r="F182" s="799" t="s">
        <v>13</v>
      </c>
      <c r="G182" s="108">
        <v>2000000</v>
      </c>
      <c r="H182" s="1053" t="s">
        <v>220</v>
      </c>
      <c r="I182" s="108">
        <f>J182+K182</f>
        <v>2000000</v>
      </c>
      <c r="J182" s="108">
        <v>2000000</v>
      </c>
      <c r="K182" s="108"/>
      <c r="L182" s="1044" t="s">
        <v>236</v>
      </c>
    </row>
    <row r="183" spans="1:12" s="89" customFormat="1" hidden="1">
      <c r="A183" s="1048"/>
      <c r="B183" s="1051"/>
      <c r="C183" s="1051"/>
      <c r="D183" s="1045"/>
      <c r="E183" s="1048"/>
      <c r="F183" s="799" t="s">
        <v>14</v>
      </c>
      <c r="G183" s="108"/>
      <c r="H183" s="1054"/>
      <c r="I183" s="108">
        <f>J183+K183</f>
        <v>0</v>
      </c>
      <c r="J183" s="108"/>
      <c r="K183" s="108"/>
      <c r="L183" s="1045"/>
    </row>
    <row r="184" spans="1:12" s="89" customFormat="1" hidden="1">
      <c r="A184" s="1049"/>
      <c r="B184" s="1052"/>
      <c r="C184" s="1052"/>
      <c r="D184" s="1046"/>
      <c r="E184" s="1049"/>
      <c r="F184" s="799" t="s">
        <v>15</v>
      </c>
      <c r="G184" s="108">
        <f>G182+G183</f>
        <v>2000000</v>
      </c>
      <c r="H184" s="1055"/>
      <c r="I184" s="108">
        <f>I182+I183</f>
        <v>2000000</v>
      </c>
      <c r="J184" s="108">
        <f>J182+J183</f>
        <v>2000000</v>
      </c>
      <c r="K184" s="108">
        <f>K182+K183</f>
        <v>0</v>
      </c>
      <c r="L184" s="1046"/>
    </row>
    <row r="185" spans="1:12" s="89" customFormat="1" ht="5.0999999999999996" customHeight="1">
      <c r="A185" s="806"/>
      <c r="B185" s="109"/>
      <c r="C185" s="109"/>
      <c r="D185" s="110"/>
      <c r="E185" s="806"/>
      <c r="F185" s="806"/>
      <c r="G185" s="108"/>
      <c r="H185" s="805"/>
      <c r="I185" s="108"/>
      <c r="J185" s="108"/>
      <c r="K185" s="108"/>
      <c r="L185" s="111"/>
    </row>
    <row r="186" spans="1:12" s="107" customFormat="1" ht="15.6" customHeight="1">
      <c r="A186" s="1068" t="s">
        <v>300</v>
      </c>
      <c r="B186" s="1069"/>
      <c r="C186" s="1069"/>
      <c r="D186" s="1070"/>
      <c r="E186" s="1077" t="s">
        <v>220</v>
      </c>
      <c r="F186" s="804" t="s">
        <v>13</v>
      </c>
      <c r="G186" s="112">
        <f>G20+G26+G59+G65+G77+G104+G113+G131+G179+G92+G53</f>
        <v>62235978</v>
      </c>
      <c r="H186" s="1112" t="s">
        <v>220</v>
      </c>
      <c r="I186" s="112">
        <f t="shared" ref="I186:K187" si="13">I20+I26+I59+I65+I77+I104+I113+I131+I179+I92+I53</f>
        <v>62235978</v>
      </c>
      <c r="J186" s="112">
        <f t="shared" si="13"/>
        <v>61473618</v>
      </c>
      <c r="K186" s="112">
        <f t="shared" si="13"/>
        <v>762360</v>
      </c>
      <c r="L186" s="1080" t="s">
        <v>220</v>
      </c>
    </row>
    <row r="187" spans="1:12" s="107" customFormat="1" ht="15.75">
      <c r="A187" s="1071"/>
      <c r="B187" s="1072"/>
      <c r="C187" s="1072"/>
      <c r="D187" s="1073"/>
      <c r="E187" s="1078"/>
      <c r="F187" s="804" t="s">
        <v>14</v>
      </c>
      <c r="G187" s="112">
        <f>G21+G27+G60+G66+G78+G105+G114+G132+G180+G93+G54</f>
        <v>3008218</v>
      </c>
      <c r="H187" s="1113"/>
      <c r="I187" s="112">
        <f t="shared" si="13"/>
        <v>3008218</v>
      </c>
      <c r="J187" s="112">
        <f t="shared" si="13"/>
        <v>2854218</v>
      </c>
      <c r="K187" s="112">
        <f t="shared" si="13"/>
        <v>154000</v>
      </c>
      <c r="L187" s="1081"/>
    </row>
    <row r="188" spans="1:12" s="107" customFormat="1" ht="15.75">
      <c r="A188" s="1074"/>
      <c r="B188" s="1075"/>
      <c r="C188" s="1075"/>
      <c r="D188" s="1076"/>
      <c r="E188" s="1079"/>
      <c r="F188" s="804" t="s">
        <v>15</v>
      </c>
      <c r="G188" s="112">
        <f>G186+G187</f>
        <v>65244196</v>
      </c>
      <c r="H188" s="1114"/>
      <c r="I188" s="112">
        <f>I186+I187</f>
        <v>65244196</v>
      </c>
      <c r="J188" s="112">
        <f>J186+J187</f>
        <v>64327836</v>
      </c>
      <c r="K188" s="112">
        <f>K186+K187</f>
        <v>916360</v>
      </c>
      <c r="L188" s="1082"/>
    </row>
    <row r="189" spans="1:12" s="89" customFormat="1" ht="5.0999999999999996" customHeight="1">
      <c r="A189" s="1115"/>
      <c r="B189" s="1115"/>
      <c r="C189" s="1115"/>
      <c r="D189" s="1115"/>
      <c r="E189" s="1115"/>
      <c r="F189" s="1115"/>
      <c r="G189" s="1115"/>
      <c r="H189" s="1115"/>
      <c r="I189" s="1115"/>
      <c r="J189" s="1115"/>
      <c r="K189" s="1115"/>
      <c r="L189" s="1115"/>
    </row>
    <row r="190" spans="1:12" s="104" customFormat="1" ht="20.45" customHeight="1">
      <c r="A190" s="801" t="s">
        <v>301</v>
      </c>
      <c r="B190" s="1065" t="s">
        <v>302</v>
      </c>
      <c r="C190" s="1065"/>
      <c r="D190" s="1065"/>
      <c r="E190" s="1065"/>
      <c r="F190" s="1065"/>
      <c r="G190" s="1065"/>
      <c r="H190" s="1065"/>
      <c r="I190" s="1065"/>
      <c r="J190" s="1065"/>
      <c r="K190" s="1065"/>
      <c r="L190" s="1065"/>
    </row>
    <row r="191" spans="1:12" s="89" customFormat="1" ht="5.0999999999999996" customHeight="1">
      <c r="A191" s="806"/>
      <c r="B191" s="109"/>
      <c r="C191" s="109"/>
      <c r="D191" s="110"/>
      <c r="E191" s="806"/>
      <c r="F191" s="806"/>
      <c r="G191" s="108"/>
      <c r="H191" s="805"/>
      <c r="I191" s="108"/>
      <c r="J191" s="108"/>
      <c r="K191" s="108"/>
      <c r="L191" s="111"/>
    </row>
    <row r="192" spans="1:12" s="107" customFormat="1">
      <c r="A192" s="1061"/>
      <c r="B192" s="1094" t="s">
        <v>19</v>
      </c>
      <c r="C192" s="1094"/>
      <c r="D192" s="1097" t="s">
        <v>20</v>
      </c>
      <c r="E192" s="1061" t="s">
        <v>220</v>
      </c>
      <c r="F192" s="802" t="s">
        <v>13</v>
      </c>
      <c r="G192" s="106">
        <f t="shared" ref="G192:K193" si="14">G198+G201+G204+G207+G210+G213+G216+G219+G222+G225+G228+G231+G252+G255+G234+G237+G240+G243+G246+G249+G258+G195</f>
        <v>288263132</v>
      </c>
      <c r="H192" s="106">
        <f t="shared" si="14"/>
        <v>58537866</v>
      </c>
      <c r="I192" s="106">
        <f t="shared" si="14"/>
        <v>24457574</v>
      </c>
      <c r="J192" s="106">
        <f t="shared" si="14"/>
        <v>22138305</v>
      </c>
      <c r="K192" s="106">
        <f t="shared" si="14"/>
        <v>2319269</v>
      </c>
      <c r="L192" s="1061" t="s">
        <v>220</v>
      </c>
    </row>
    <row r="193" spans="1:12" s="107" customFormat="1">
      <c r="A193" s="1062"/>
      <c r="B193" s="1095"/>
      <c r="C193" s="1095"/>
      <c r="D193" s="1098"/>
      <c r="E193" s="1062"/>
      <c r="F193" s="802" t="s">
        <v>14</v>
      </c>
      <c r="G193" s="106">
        <f t="shared" si="14"/>
        <v>87689320</v>
      </c>
      <c r="H193" s="106">
        <f t="shared" si="14"/>
        <v>-126546</v>
      </c>
      <c r="I193" s="106">
        <f t="shared" si="14"/>
        <v>40779704</v>
      </c>
      <c r="J193" s="106">
        <f t="shared" si="14"/>
        <v>40714514</v>
      </c>
      <c r="K193" s="106">
        <f t="shared" si="14"/>
        <v>65190</v>
      </c>
      <c r="L193" s="1062"/>
    </row>
    <row r="194" spans="1:12" s="107" customFormat="1">
      <c r="A194" s="1063"/>
      <c r="B194" s="1096"/>
      <c r="C194" s="1096"/>
      <c r="D194" s="1099"/>
      <c r="E194" s="1063"/>
      <c r="F194" s="802" t="s">
        <v>15</v>
      </c>
      <c r="G194" s="106">
        <f>G192+G193</f>
        <v>375952452</v>
      </c>
      <c r="H194" s="106">
        <f>H192+H193</f>
        <v>58411320</v>
      </c>
      <c r="I194" s="106">
        <f>I192+I193</f>
        <v>65237278</v>
      </c>
      <c r="J194" s="106">
        <f>J192+J193</f>
        <v>62852819</v>
      </c>
      <c r="K194" s="106">
        <f>K192+K193</f>
        <v>2384459</v>
      </c>
      <c r="L194" s="1063"/>
    </row>
    <row r="195" spans="1:12" s="89" customFormat="1" ht="20.45" customHeight="1">
      <c r="A195" s="1047">
        <v>1</v>
      </c>
      <c r="B195" s="1050"/>
      <c r="C195" s="1050" t="s">
        <v>108</v>
      </c>
      <c r="D195" s="1044" t="s">
        <v>378</v>
      </c>
      <c r="E195" s="1047" t="s">
        <v>379</v>
      </c>
      <c r="F195" s="799" t="s">
        <v>13</v>
      </c>
      <c r="G195" s="108">
        <v>0</v>
      </c>
      <c r="H195" s="113">
        <v>0</v>
      </c>
      <c r="I195" s="108">
        <f>J195+K195</f>
        <v>0</v>
      </c>
      <c r="J195" s="108">
        <v>0</v>
      </c>
      <c r="K195" s="108">
        <v>0</v>
      </c>
      <c r="L195" s="1044" t="s">
        <v>236</v>
      </c>
    </row>
    <row r="196" spans="1:12" s="89" customFormat="1" ht="20.45" customHeight="1">
      <c r="A196" s="1048"/>
      <c r="B196" s="1051"/>
      <c r="C196" s="1051"/>
      <c r="D196" s="1045"/>
      <c r="E196" s="1048"/>
      <c r="F196" s="799" t="s">
        <v>14</v>
      </c>
      <c r="G196" s="108">
        <v>282832</v>
      </c>
      <c r="H196" s="113">
        <v>82832</v>
      </c>
      <c r="I196" s="108">
        <f>J196+K196</f>
        <v>200000</v>
      </c>
      <c r="J196" s="108">
        <v>200000</v>
      </c>
      <c r="K196" s="108"/>
      <c r="L196" s="1045"/>
    </row>
    <row r="197" spans="1:12" s="89" customFormat="1" ht="20.45" customHeight="1">
      <c r="A197" s="1049"/>
      <c r="B197" s="1052"/>
      <c r="C197" s="1052"/>
      <c r="D197" s="1046"/>
      <c r="E197" s="1049"/>
      <c r="F197" s="799" t="s">
        <v>15</v>
      </c>
      <c r="G197" s="108">
        <f>G195+G196</f>
        <v>282832</v>
      </c>
      <c r="H197" s="108">
        <f>H195+H196</f>
        <v>82832</v>
      </c>
      <c r="I197" s="108">
        <f>I195+I196</f>
        <v>200000</v>
      </c>
      <c r="J197" s="108">
        <f>J195+J196</f>
        <v>200000</v>
      </c>
      <c r="K197" s="108">
        <f>K195+K196</f>
        <v>0</v>
      </c>
      <c r="L197" s="1046"/>
    </row>
    <row r="198" spans="1:12" s="89" customFormat="1">
      <c r="A198" s="1047">
        <v>2</v>
      </c>
      <c r="B198" s="1050"/>
      <c r="C198" s="1050" t="s">
        <v>21</v>
      </c>
      <c r="D198" s="1044" t="s">
        <v>303</v>
      </c>
      <c r="E198" s="1047" t="s">
        <v>304</v>
      </c>
      <c r="F198" s="799" t="s">
        <v>13</v>
      </c>
      <c r="G198" s="108">
        <v>56970488</v>
      </c>
      <c r="H198" s="113">
        <f>774385+10746026+35015124</f>
        <v>46535535</v>
      </c>
      <c r="I198" s="108">
        <f>J198+K198</f>
        <v>10434953</v>
      </c>
      <c r="J198" s="108">
        <v>10434953</v>
      </c>
      <c r="K198" s="108">
        <v>0</v>
      </c>
      <c r="L198" s="1044" t="s">
        <v>305</v>
      </c>
    </row>
    <row r="199" spans="1:12" s="89" customFormat="1">
      <c r="A199" s="1048"/>
      <c r="B199" s="1051"/>
      <c r="C199" s="1051"/>
      <c r="D199" s="1045"/>
      <c r="E199" s="1048"/>
      <c r="F199" s="799" t="s">
        <v>14</v>
      </c>
      <c r="G199" s="108">
        <v>7126812</v>
      </c>
      <c r="H199" s="113">
        <v>-144188</v>
      </c>
      <c r="I199" s="108">
        <f>J199+K199</f>
        <v>7271000</v>
      </c>
      <c r="J199" s="108">
        <v>7271000</v>
      </c>
      <c r="K199" s="108"/>
      <c r="L199" s="1045"/>
    </row>
    <row r="200" spans="1:12" s="89" customFormat="1">
      <c r="A200" s="1049"/>
      <c r="B200" s="1052"/>
      <c r="C200" s="1052"/>
      <c r="D200" s="1046"/>
      <c r="E200" s="1049"/>
      <c r="F200" s="799" t="s">
        <v>15</v>
      </c>
      <c r="G200" s="108">
        <f>G198+G199</f>
        <v>64097300</v>
      </c>
      <c r="H200" s="108">
        <f>H198+H199</f>
        <v>46391347</v>
      </c>
      <c r="I200" s="108">
        <f>I198+I199</f>
        <v>17705953</v>
      </c>
      <c r="J200" s="108">
        <f>J198+J199</f>
        <v>17705953</v>
      </c>
      <c r="K200" s="108">
        <f>K198+K199</f>
        <v>0</v>
      </c>
      <c r="L200" s="1046"/>
    </row>
    <row r="201" spans="1:12" s="89" customFormat="1" ht="22.9" customHeight="1">
      <c r="A201" s="1047">
        <v>3</v>
      </c>
      <c r="B201" s="1050"/>
      <c r="C201" s="1050" t="s">
        <v>21</v>
      </c>
      <c r="D201" s="1044" t="s">
        <v>306</v>
      </c>
      <c r="E201" s="1047" t="s">
        <v>358</v>
      </c>
      <c r="F201" s="799" t="s">
        <v>13</v>
      </c>
      <c r="G201" s="108">
        <v>328414</v>
      </c>
      <c r="H201" s="113">
        <v>0</v>
      </c>
      <c r="I201" s="108">
        <f>J201+K201</f>
        <v>328414</v>
      </c>
      <c r="J201" s="108">
        <v>328414</v>
      </c>
      <c r="K201" s="108">
        <v>0</v>
      </c>
      <c r="L201" s="1044" t="s">
        <v>305</v>
      </c>
    </row>
    <row r="202" spans="1:12" s="89" customFormat="1" ht="22.9" customHeight="1">
      <c r="A202" s="1048"/>
      <c r="B202" s="1051"/>
      <c r="C202" s="1051"/>
      <c r="D202" s="1045"/>
      <c r="E202" s="1048"/>
      <c r="F202" s="799" t="s">
        <v>14</v>
      </c>
      <c r="G202" s="108"/>
      <c r="H202" s="113"/>
      <c r="I202" s="108">
        <f>J202+K202</f>
        <v>-50000</v>
      </c>
      <c r="J202" s="108">
        <v>-50000</v>
      </c>
      <c r="K202" s="108"/>
      <c r="L202" s="1045"/>
    </row>
    <row r="203" spans="1:12" s="89" customFormat="1" ht="22.9" customHeight="1">
      <c r="A203" s="1049"/>
      <c r="B203" s="1052"/>
      <c r="C203" s="1052"/>
      <c r="D203" s="1046"/>
      <c r="E203" s="1049"/>
      <c r="F203" s="806" t="s">
        <v>15</v>
      </c>
      <c r="G203" s="108">
        <f>G201+G202</f>
        <v>328414</v>
      </c>
      <c r="H203" s="108">
        <f>H201+H202</f>
        <v>0</v>
      </c>
      <c r="I203" s="108">
        <f>I201+I202</f>
        <v>278414</v>
      </c>
      <c r="J203" s="108">
        <f>J201+J202</f>
        <v>278414</v>
      </c>
      <c r="K203" s="108">
        <f>K201+K202</f>
        <v>0</v>
      </c>
      <c r="L203" s="1046"/>
    </row>
    <row r="204" spans="1:12" s="89" customFormat="1" hidden="1">
      <c r="A204" s="1047">
        <v>3</v>
      </c>
      <c r="B204" s="1050"/>
      <c r="C204" s="1050" t="s">
        <v>21</v>
      </c>
      <c r="D204" s="1044" t="s">
        <v>308</v>
      </c>
      <c r="E204" s="1047" t="s">
        <v>309</v>
      </c>
      <c r="F204" s="799" t="s">
        <v>13</v>
      </c>
      <c r="G204" s="108">
        <v>196200000</v>
      </c>
      <c r="H204" s="113">
        <v>142214</v>
      </c>
      <c r="I204" s="108">
        <f>J204+K204</f>
        <v>1038844</v>
      </c>
      <c r="J204" s="108">
        <v>0</v>
      </c>
      <c r="K204" s="108">
        <v>1038844</v>
      </c>
      <c r="L204" s="1044" t="s">
        <v>305</v>
      </c>
    </row>
    <row r="205" spans="1:12" s="89" customFormat="1" hidden="1">
      <c r="A205" s="1048"/>
      <c r="B205" s="1051"/>
      <c r="C205" s="1051"/>
      <c r="D205" s="1045"/>
      <c r="E205" s="1048"/>
      <c r="F205" s="799" t="s">
        <v>14</v>
      </c>
      <c r="G205" s="108"/>
      <c r="H205" s="113"/>
      <c r="I205" s="108">
        <f>J205+K205</f>
        <v>0</v>
      </c>
      <c r="J205" s="108"/>
      <c r="K205" s="108"/>
      <c r="L205" s="1045"/>
    </row>
    <row r="206" spans="1:12" s="89" customFormat="1" hidden="1">
      <c r="A206" s="1049"/>
      <c r="B206" s="1052"/>
      <c r="C206" s="1052"/>
      <c r="D206" s="1046"/>
      <c r="E206" s="1049"/>
      <c r="F206" s="799" t="s">
        <v>15</v>
      </c>
      <c r="G206" s="108">
        <f>G204+G205</f>
        <v>196200000</v>
      </c>
      <c r="H206" s="108">
        <f>H204+H205</f>
        <v>142214</v>
      </c>
      <c r="I206" s="108">
        <f>I204+I205</f>
        <v>1038844</v>
      </c>
      <c r="J206" s="108">
        <f>J204+J205</f>
        <v>0</v>
      </c>
      <c r="K206" s="108">
        <f>K204+K205</f>
        <v>1038844</v>
      </c>
      <c r="L206" s="1046"/>
    </row>
    <row r="207" spans="1:12" s="89" customFormat="1" hidden="1">
      <c r="A207" s="1047">
        <v>4</v>
      </c>
      <c r="B207" s="1050"/>
      <c r="C207" s="1050" t="s">
        <v>21</v>
      </c>
      <c r="D207" s="1044" t="s">
        <v>310</v>
      </c>
      <c r="E207" s="1047" t="s">
        <v>311</v>
      </c>
      <c r="F207" s="799" t="s">
        <v>13</v>
      </c>
      <c r="G207" s="108">
        <v>171586</v>
      </c>
      <c r="H207" s="113">
        <v>17159</v>
      </c>
      <c r="I207" s="108">
        <f>J207+K207</f>
        <v>154427</v>
      </c>
      <c r="J207" s="108">
        <v>154427</v>
      </c>
      <c r="K207" s="108">
        <v>0</v>
      </c>
      <c r="L207" s="1044" t="s">
        <v>305</v>
      </c>
    </row>
    <row r="208" spans="1:12" s="89" customFormat="1" hidden="1">
      <c r="A208" s="1048"/>
      <c r="B208" s="1051"/>
      <c r="C208" s="1051"/>
      <c r="D208" s="1045"/>
      <c r="E208" s="1048"/>
      <c r="F208" s="799" t="s">
        <v>14</v>
      </c>
      <c r="G208" s="108"/>
      <c r="H208" s="113"/>
      <c r="I208" s="108">
        <f>J208+K208</f>
        <v>0</v>
      </c>
      <c r="J208" s="108"/>
      <c r="K208" s="108"/>
      <c r="L208" s="1045"/>
    </row>
    <row r="209" spans="1:12" s="89" customFormat="1" hidden="1">
      <c r="A209" s="1049"/>
      <c r="B209" s="1052"/>
      <c r="C209" s="1052"/>
      <c r="D209" s="1046"/>
      <c r="E209" s="1049"/>
      <c r="F209" s="799" t="s">
        <v>15</v>
      </c>
      <c r="G209" s="108">
        <f>G207+G208</f>
        <v>171586</v>
      </c>
      <c r="H209" s="108">
        <f>H207+H208</f>
        <v>17159</v>
      </c>
      <c r="I209" s="108">
        <f>I207+I208</f>
        <v>154427</v>
      </c>
      <c r="J209" s="108">
        <f>J207+J208</f>
        <v>154427</v>
      </c>
      <c r="K209" s="108">
        <f>K207+K208</f>
        <v>0</v>
      </c>
      <c r="L209" s="1046"/>
    </row>
    <row r="210" spans="1:12" s="89" customFormat="1" ht="21.95" customHeight="1">
      <c r="A210" s="1047">
        <v>4</v>
      </c>
      <c r="B210" s="1050"/>
      <c r="C210" s="1050" t="s">
        <v>21</v>
      </c>
      <c r="D210" s="1044" t="s">
        <v>312</v>
      </c>
      <c r="E210" s="1047" t="s">
        <v>311</v>
      </c>
      <c r="F210" s="799" t="s">
        <v>13</v>
      </c>
      <c r="G210" s="108">
        <v>169000</v>
      </c>
      <c r="H210" s="113">
        <v>89790</v>
      </c>
      <c r="I210" s="108">
        <f>J210+K210</f>
        <v>79210</v>
      </c>
      <c r="J210" s="108">
        <v>0</v>
      </c>
      <c r="K210" s="108">
        <v>79210</v>
      </c>
      <c r="L210" s="1044" t="s">
        <v>305</v>
      </c>
    </row>
    <row r="211" spans="1:12" s="89" customFormat="1" ht="21.95" customHeight="1">
      <c r="A211" s="1048"/>
      <c r="B211" s="1051"/>
      <c r="C211" s="1051"/>
      <c r="D211" s="1045"/>
      <c r="E211" s="1048"/>
      <c r="F211" s="799" t="s">
        <v>14</v>
      </c>
      <c r="G211" s="108"/>
      <c r="H211" s="113">
        <v>-65190</v>
      </c>
      <c r="I211" s="108">
        <f>J211+K211</f>
        <v>65190</v>
      </c>
      <c r="J211" s="108"/>
      <c r="K211" s="108">
        <v>65190</v>
      </c>
      <c r="L211" s="1045"/>
    </row>
    <row r="212" spans="1:12" s="89" customFormat="1" ht="21.95" customHeight="1">
      <c r="A212" s="1049"/>
      <c r="B212" s="1052"/>
      <c r="C212" s="1052"/>
      <c r="D212" s="1046"/>
      <c r="E212" s="1049"/>
      <c r="F212" s="806" t="s">
        <v>15</v>
      </c>
      <c r="G212" s="108">
        <f>G210+G211</f>
        <v>169000</v>
      </c>
      <c r="H212" s="108">
        <f>H210+H211</f>
        <v>24600</v>
      </c>
      <c r="I212" s="108">
        <f>I210+I211</f>
        <v>144400</v>
      </c>
      <c r="J212" s="108">
        <f>J210+J211</f>
        <v>0</v>
      </c>
      <c r="K212" s="108">
        <f>K210+K211</f>
        <v>144400</v>
      </c>
      <c r="L212" s="1046"/>
    </row>
    <row r="213" spans="1:12" s="89" customFormat="1" ht="18.600000000000001" hidden="1" customHeight="1">
      <c r="A213" s="1047">
        <v>6</v>
      </c>
      <c r="B213" s="1050"/>
      <c r="C213" s="1050" t="s">
        <v>21</v>
      </c>
      <c r="D213" s="1044" t="s">
        <v>313</v>
      </c>
      <c r="E213" s="1047" t="s">
        <v>304</v>
      </c>
      <c r="F213" s="799" t="s">
        <v>13</v>
      </c>
      <c r="G213" s="108">
        <v>461250</v>
      </c>
      <c r="H213" s="113">
        <f>83025+177010</f>
        <v>260035</v>
      </c>
      <c r="I213" s="108">
        <f>J213+K213</f>
        <v>201215</v>
      </c>
      <c r="J213" s="108">
        <v>0</v>
      </c>
      <c r="K213" s="108">
        <v>201215</v>
      </c>
      <c r="L213" s="1044" t="s">
        <v>305</v>
      </c>
    </row>
    <row r="214" spans="1:12" s="89" customFormat="1" ht="18.600000000000001" hidden="1" customHeight="1">
      <c r="A214" s="1048"/>
      <c r="B214" s="1051"/>
      <c r="C214" s="1051"/>
      <c r="D214" s="1045"/>
      <c r="E214" s="1048"/>
      <c r="F214" s="799" t="s">
        <v>14</v>
      </c>
      <c r="G214" s="108"/>
      <c r="H214" s="113"/>
      <c r="I214" s="108">
        <f>J214+K214</f>
        <v>0</v>
      </c>
      <c r="J214" s="108"/>
      <c r="K214" s="108"/>
      <c r="L214" s="1045"/>
    </row>
    <row r="215" spans="1:12" s="89" customFormat="1" ht="18.600000000000001" hidden="1" customHeight="1">
      <c r="A215" s="1049"/>
      <c r="B215" s="1052"/>
      <c r="C215" s="1052"/>
      <c r="D215" s="1046"/>
      <c r="E215" s="1049"/>
      <c r="F215" s="799" t="s">
        <v>15</v>
      </c>
      <c r="G215" s="108">
        <f>G213+G214</f>
        <v>461250</v>
      </c>
      <c r="H215" s="108">
        <f>H213+H214</f>
        <v>260035</v>
      </c>
      <c r="I215" s="108">
        <f>I213+I214</f>
        <v>201215</v>
      </c>
      <c r="J215" s="108">
        <f>J213+J214</f>
        <v>0</v>
      </c>
      <c r="K215" s="108">
        <f>K213+K214</f>
        <v>201215</v>
      </c>
      <c r="L215" s="1046"/>
    </row>
    <row r="216" spans="1:12" s="89" customFormat="1" hidden="1">
      <c r="A216" s="1047">
        <v>7</v>
      </c>
      <c r="B216" s="1050"/>
      <c r="C216" s="1050" t="s">
        <v>21</v>
      </c>
      <c r="D216" s="1044" t="s">
        <v>314</v>
      </c>
      <c r="E216" s="1047" t="s">
        <v>315</v>
      </c>
      <c r="F216" s="799" t="s">
        <v>13</v>
      </c>
      <c r="G216" s="108">
        <v>11538750</v>
      </c>
      <c r="H216" s="113">
        <v>0</v>
      </c>
      <c r="I216" s="108">
        <f>J216+K216</f>
        <v>5000000</v>
      </c>
      <c r="J216" s="108">
        <v>4000000</v>
      </c>
      <c r="K216" s="108">
        <v>1000000</v>
      </c>
      <c r="L216" s="1044" t="s">
        <v>305</v>
      </c>
    </row>
    <row r="217" spans="1:12" s="89" customFormat="1" hidden="1">
      <c r="A217" s="1048"/>
      <c r="B217" s="1051"/>
      <c r="C217" s="1051"/>
      <c r="D217" s="1045"/>
      <c r="E217" s="1048"/>
      <c r="F217" s="799" t="s">
        <v>14</v>
      </c>
      <c r="G217" s="108"/>
      <c r="H217" s="113"/>
      <c r="I217" s="108">
        <f>J217+K217</f>
        <v>0</v>
      </c>
      <c r="J217" s="108"/>
      <c r="K217" s="108"/>
      <c r="L217" s="1045"/>
    </row>
    <row r="218" spans="1:12" s="89" customFormat="1" hidden="1">
      <c r="A218" s="1049"/>
      <c r="B218" s="1052"/>
      <c r="C218" s="1052"/>
      <c r="D218" s="1046"/>
      <c r="E218" s="1049"/>
      <c r="F218" s="799" t="s">
        <v>15</v>
      </c>
      <c r="G218" s="108">
        <f>G216+G217</f>
        <v>11538750</v>
      </c>
      <c r="H218" s="108">
        <f>H216+H217</f>
        <v>0</v>
      </c>
      <c r="I218" s="108">
        <f>I216+I217</f>
        <v>5000000</v>
      </c>
      <c r="J218" s="108">
        <f>J216+J217</f>
        <v>4000000</v>
      </c>
      <c r="K218" s="108">
        <f>K216+K217</f>
        <v>1000000</v>
      </c>
      <c r="L218" s="1046"/>
    </row>
    <row r="219" spans="1:12" s="89" customFormat="1" ht="20.45" hidden="1" customHeight="1">
      <c r="A219" s="1047">
        <v>8</v>
      </c>
      <c r="B219" s="1050"/>
      <c r="C219" s="1050" t="s">
        <v>21</v>
      </c>
      <c r="D219" s="1044" t="s">
        <v>316</v>
      </c>
      <c r="E219" s="1047" t="s">
        <v>315</v>
      </c>
      <c r="F219" s="799" t="s">
        <v>13</v>
      </c>
      <c r="G219" s="108">
        <v>125000</v>
      </c>
      <c r="H219" s="113">
        <v>0</v>
      </c>
      <c r="I219" s="108">
        <f>J219+K219</f>
        <v>50000</v>
      </c>
      <c r="J219" s="108">
        <v>50000</v>
      </c>
      <c r="K219" s="108">
        <v>0</v>
      </c>
      <c r="L219" s="1044" t="s">
        <v>305</v>
      </c>
    </row>
    <row r="220" spans="1:12" s="89" customFormat="1" ht="20.45" hidden="1" customHeight="1">
      <c r="A220" s="1048"/>
      <c r="B220" s="1051"/>
      <c r="C220" s="1051"/>
      <c r="D220" s="1045"/>
      <c r="E220" s="1048"/>
      <c r="F220" s="799" t="s">
        <v>14</v>
      </c>
      <c r="G220" s="108"/>
      <c r="H220" s="113"/>
      <c r="I220" s="108">
        <f>J220+K220</f>
        <v>0</v>
      </c>
      <c r="J220" s="108"/>
      <c r="K220" s="108"/>
      <c r="L220" s="1045"/>
    </row>
    <row r="221" spans="1:12" s="89" customFormat="1" ht="20.45" hidden="1" customHeight="1">
      <c r="A221" s="1049"/>
      <c r="B221" s="1052"/>
      <c r="C221" s="1052"/>
      <c r="D221" s="1046"/>
      <c r="E221" s="1049"/>
      <c r="F221" s="799" t="s">
        <v>15</v>
      </c>
      <c r="G221" s="108">
        <f>G219+G220</f>
        <v>125000</v>
      </c>
      <c r="H221" s="108">
        <f>H219+H220</f>
        <v>0</v>
      </c>
      <c r="I221" s="108">
        <f>I219+I220</f>
        <v>50000</v>
      </c>
      <c r="J221" s="108">
        <f>J219+J220</f>
        <v>50000</v>
      </c>
      <c r="K221" s="108">
        <f>K219+K220</f>
        <v>0</v>
      </c>
      <c r="L221" s="1046"/>
    </row>
    <row r="222" spans="1:12" s="89" customFormat="1" ht="25.15" hidden="1" customHeight="1">
      <c r="A222" s="1047">
        <v>9</v>
      </c>
      <c r="B222" s="1050"/>
      <c r="C222" s="1050" t="s">
        <v>21</v>
      </c>
      <c r="D222" s="1044" t="s">
        <v>317</v>
      </c>
      <c r="E222" s="1047" t="s">
        <v>304</v>
      </c>
      <c r="F222" s="799" t="s">
        <v>13</v>
      </c>
      <c r="G222" s="108">
        <v>306639</v>
      </c>
      <c r="H222" s="113">
        <v>201330</v>
      </c>
      <c r="I222" s="108">
        <f>J222+K222</f>
        <v>105309</v>
      </c>
      <c r="J222" s="108">
        <v>105309</v>
      </c>
      <c r="K222" s="108">
        <v>0</v>
      </c>
      <c r="L222" s="1044" t="s">
        <v>305</v>
      </c>
    </row>
    <row r="223" spans="1:12" s="89" customFormat="1" ht="25.15" hidden="1" customHeight="1">
      <c r="A223" s="1048"/>
      <c r="B223" s="1051"/>
      <c r="C223" s="1051"/>
      <c r="D223" s="1045"/>
      <c r="E223" s="1048"/>
      <c r="F223" s="799" t="s">
        <v>14</v>
      </c>
      <c r="G223" s="108"/>
      <c r="H223" s="113"/>
      <c r="I223" s="108">
        <f>J223+K223</f>
        <v>0</v>
      </c>
      <c r="J223" s="108"/>
      <c r="K223" s="108"/>
      <c r="L223" s="1045"/>
    </row>
    <row r="224" spans="1:12" s="89" customFormat="1" ht="25.15" hidden="1" customHeight="1">
      <c r="A224" s="1049"/>
      <c r="B224" s="1052"/>
      <c r="C224" s="1052"/>
      <c r="D224" s="1046"/>
      <c r="E224" s="1049"/>
      <c r="F224" s="799" t="s">
        <v>15</v>
      </c>
      <c r="G224" s="108">
        <f>G222+G223</f>
        <v>306639</v>
      </c>
      <c r="H224" s="108">
        <f>H222+H223</f>
        <v>201330</v>
      </c>
      <c r="I224" s="108">
        <f>I222+I223</f>
        <v>105309</v>
      </c>
      <c r="J224" s="108">
        <f>J222+J223</f>
        <v>105309</v>
      </c>
      <c r="K224" s="108">
        <f>K222+K223</f>
        <v>0</v>
      </c>
      <c r="L224" s="1046"/>
    </row>
    <row r="225" spans="1:12" s="89" customFormat="1" hidden="1">
      <c r="A225" s="1047">
        <v>10</v>
      </c>
      <c r="B225" s="1050"/>
      <c r="C225" s="1050" t="s">
        <v>21</v>
      </c>
      <c r="D225" s="1044" t="s">
        <v>318</v>
      </c>
      <c r="E225" s="1047" t="s">
        <v>319</v>
      </c>
      <c r="F225" s="799" t="s">
        <v>13</v>
      </c>
      <c r="G225" s="108">
        <v>150000</v>
      </c>
      <c r="H225" s="113">
        <v>0</v>
      </c>
      <c r="I225" s="108">
        <f>J225+K225</f>
        <v>150000</v>
      </c>
      <c r="J225" s="108">
        <v>150000</v>
      </c>
      <c r="K225" s="108">
        <v>0</v>
      </c>
      <c r="L225" s="1044" t="s">
        <v>305</v>
      </c>
    </row>
    <row r="226" spans="1:12" s="89" customFormat="1" hidden="1">
      <c r="A226" s="1048"/>
      <c r="B226" s="1051"/>
      <c r="C226" s="1051"/>
      <c r="D226" s="1045"/>
      <c r="E226" s="1048"/>
      <c r="F226" s="799" t="s">
        <v>14</v>
      </c>
      <c r="G226" s="108"/>
      <c r="H226" s="113"/>
      <c r="I226" s="108">
        <f>J226+K226</f>
        <v>0</v>
      </c>
      <c r="J226" s="108"/>
      <c r="K226" s="108"/>
      <c r="L226" s="1045"/>
    </row>
    <row r="227" spans="1:12" s="89" customFormat="1" hidden="1">
      <c r="A227" s="1049"/>
      <c r="B227" s="1052"/>
      <c r="C227" s="1052"/>
      <c r="D227" s="1046"/>
      <c r="E227" s="1049"/>
      <c r="F227" s="799" t="s">
        <v>15</v>
      </c>
      <c r="G227" s="108">
        <f>G225+G226</f>
        <v>150000</v>
      </c>
      <c r="H227" s="108">
        <f>H225+H226</f>
        <v>0</v>
      </c>
      <c r="I227" s="108">
        <f>I225+I226</f>
        <v>150000</v>
      </c>
      <c r="J227" s="108">
        <f>J225+J226</f>
        <v>150000</v>
      </c>
      <c r="K227" s="108">
        <f>K225+K226</f>
        <v>0</v>
      </c>
      <c r="L227" s="1046"/>
    </row>
    <row r="228" spans="1:12" s="89" customFormat="1" hidden="1">
      <c r="A228" s="1047">
        <v>11</v>
      </c>
      <c r="B228" s="1050"/>
      <c r="C228" s="1050" t="s">
        <v>21</v>
      </c>
      <c r="D228" s="1044" t="s">
        <v>320</v>
      </c>
      <c r="E228" s="1047" t="s">
        <v>311</v>
      </c>
      <c r="F228" s="799" t="s">
        <v>13</v>
      </c>
      <c r="G228" s="108">
        <v>1750000</v>
      </c>
      <c r="H228" s="113">
        <v>0</v>
      </c>
      <c r="I228" s="108">
        <f>J228+K228</f>
        <v>1750000</v>
      </c>
      <c r="J228" s="108">
        <v>1750000</v>
      </c>
      <c r="K228" s="108">
        <v>0</v>
      </c>
      <c r="L228" s="1044" t="s">
        <v>236</v>
      </c>
    </row>
    <row r="229" spans="1:12" s="89" customFormat="1" hidden="1">
      <c r="A229" s="1048"/>
      <c r="B229" s="1051"/>
      <c r="C229" s="1051"/>
      <c r="D229" s="1045"/>
      <c r="E229" s="1048"/>
      <c r="F229" s="799" t="s">
        <v>14</v>
      </c>
      <c r="G229" s="108"/>
      <c r="H229" s="113"/>
      <c r="I229" s="108">
        <f>J229+K229</f>
        <v>0</v>
      </c>
      <c r="J229" s="108"/>
      <c r="K229" s="108"/>
      <c r="L229" s="1045"/>
    </row>
    <row r="230" spans="1:12" s="89" customFormat="1" hidden="1">
      <c r="A230" s="1049"/>
      <c r="B230" s="1052"/>
      <c r="C230" s="1052"/>
      <c r="D230" s="1046"/>
      <c r="E230" s="1049"/>
      <c r="F230" s="799" t="s">
        <v>15</v>
      </c>
      <c r="G230" s="108">
        <f>G228+G229</f>
        <v>1750000</v>
      </c>
      <c r="H230" s="108">
        <f>H228+H229</f>
        <v>0</v>
      </c>
      <c r="I230" s="108">
        <f>I228+I229</f>
        <v>1750000</v>
      </c>
      <c r="J230" s="108">
        <f>J228+J229</f>
        <v>1750000</v>
      </c>
      <c r="K230" s="108">
        <f>K228+K229</f>
        <v>0</v>
      </c>
      <c r="L230" s="1046"/>
    </row>
    <row r="231" spans="1:12" s="89" customFormat="1" ht="26.45" hidden="1" customHeight="1">
      <c r="A231" s="1047">
        <v>12</v>
      </c>
      <c r="B231" s="1050"/>
      <c r="C231" s="1050" t="s">
        <v>21</v>
      </c>
      <c r="D231" s="1044" t="s">
        <v>321</v>
      </c>
      <c r="E231" s="1047" t="s">
        <v>315</v>
      </c>
      <c r="F231" s="799" t="s">
        <v>13</v>
      </c>
      <c r="G231" s="108">
        <v>75000</v>
      </c>
      <c r="H231" s="113">
        <v>0</v>
      </c>
      <c r="I231" s="108">
        <f>J231+K231</f>
        <v>40000</v>
      </c>
      <c r="J231" s="108">
        <v>40000</v>
      </c>
      <c r="K231" s="108">
        <v>0</v>
      </c>
      <c r="L231" s="1044" t="s">
        <v>236</v>
      </c>
    </row>
    <row r="232" spans="1:12" s="89" customFormat="1" ht="26.45" hidden="1" customHeight="1">
      <c r="A232" s="1048"/>
      <c r="B232" s="1051"/>
      <c r="C232" s="1051"/>
      <c r="D232" s="1045"/>
      <c r="E232" s="1048"/>
      <c r="F232" s="799" t="s">
        <v>14</v>
      </c>
      <c r="G232" s="108"/>
      <c r="H232" s="113"/>
      <c r="I232" s="108">
        <f>J232+K232</f>
        <v>0</v>
      </c>
      <c r="J232" s="108"/>
      <c r="K232" s="108"/>
      <c r="L232" s="1045"/>
    </row>
    <row r="233" spans="1:12" s="89" customFormat="1" ht="26.45" hidden="1" customHeight="1">
      <c r="A233" s="1049"/>
      <c r="B233" s="1052"/>
      <c r="C233" s="1052"/>
      <c r="D233" s="1046"/>
      <c r="E233" s="1049"/>
      <c r="F233" s="799" t="s">
        <v>15</v>
      </c>
      <c r="G233" s="108">
        <f>G231+G232</f>
        <v>75000</v>
      </c>
      <c r="H233" s="108">
        <f>H231+H232</f>
        <v>0</v>
      </c>
      <c r="I233" s="108">
        <f>I231+I232</f>
        <v>40000</v>
      </c>
      <c r="J233" s="108">
        <f>J231+J232</f>
        <v>40000</v>
      </c>
      <c r="K233" s="108">
        <f>K231+K232</f>
        <v>0</v>
      </c>
      <c r="L233" s="1046"/>
    </row>
    <row r="234" spans="1:12" s="89" customFormat="1">
      <c r="A234" s="1047">
        <v>5</v>
      </c>
      <c r="B234" s="1050"/>
      <c r="C234" s="1050" t="s">
        <v>21</v>
      </c>
      <c r="D234" s="1044" t="s">
        <v>243</v>
      </c>
      <c r="E234" s="1047" t="s">
        <v>315</v>
      </c>
      <c r="F234" s="799" t="s">
        <v>13</v>
      </c>
      <c r="G234" s="108">
        <v>0</v>
      </c>
      <c r="H234" s="113">
        <v>0</v>
      </c>
      <c r="I234" s="108">
        <f>J234+K234</f>
        <v>0</v>
      </c>
      <c r="J234" s="108">
        <v>0</v>
      </c>
      <c r="K234" s="108">
        <v>0</v>
      </c>
      <c r="L234" s="1044" t="s">
        <v>305</v>
      </c>
    </row>
    <row r="235" spans="1:12" s="89" customFormat="1">
      <c r="A235" s="1048"/>
      <c r="B235" s="1051"/>
      <c r="C235" s="1051"/>
      <c r="D235" s="1045"/>
      <c r="E235" s="1048"/>
      <c r="F235" s="799" t="s">
        <v>14</v>
      </c>
      <c r="G235" s="108">
        <v>10200000</v>
      </c>
      <c r="H235" s="113"/>
      <c r="I235" s="108">
        <f>J235+K235</f>
        <v>5000000</v>
      </c>
      <c r="J235" s="108">
        <v>5000000</v>
      </c>
      <c r="K235" s="108"/>
      <c r="L235" s="1045"/>
    </row>
    <row r="236" spans="1:12" s="89" customFormat="1">
      <c r="A236" s="1049"/>
      <c r="B236" s="1052"/>
      <c r="C236" s="1052"/>
      <c r="D236" s="1046"/>
      <c r="E236" s="1049"/>
      <c r="F236" s="806" t="s">
        <v>15</v>
      </c>
      <c r="G236" s="108">
        <f>G234+G235</f>
        <v>10200000</v>
      </c>
      <c r="H236" s="108">
        <f>H234+H235</f>
        <v>0</v>
      </c>
      <c r="I236" s="108">
        <f>I234+I235</f>
        <v>5000000</v>
      </c>
      <c r="J236" s="108">
        <f>J234+J235</f>
        <v>5000000</v>
      </c>
      <c r="K236" s="108">
        <f>K234+K235</f>
        <v>0</v>
      </c>
      <c r="L236" s="1046"/>
    </row>
    <row r="237" spans="1:12" s="89" customFormat="1">
      <c r="A237" s="1047">
        <v>6</v>
      </c>
      <c r="B237" s="1050"/>
      <c r="C237" s="1050" t="s">
        <v>21</v>
      </c>
      <c r="D237" s="1044" t="s">
        <v>359</v>
      </c>
      <c r="E237" s="1047" t="s">
        <v>315</v>
      </c>
      <c r="F237" s="799" t="s">
        <v>13</v>
      </c>
      <c r="G237" s="108">
        <v>0</v>
      </c>
      <c r="H237" s="113">
        <v>0</v>
      </c>
      <c r="I237" s="108">
        <f>J237+K237</f>
        <v>0</v>
      </c>
      <c r="J237" s="108">
        <v>0</v>
      </c>
      <c r="K237" s="108">
        <v>0</v>
      </c>
      <c r="L237" s="1044" t="s">
        <v>305</v>
      </c>
    </row>
    <row r="238" spans="1:12" s="89" customFormat="1">
      <c r="A238" s="1048"/>
      <c r="B238" s="1051"/>
      <c r="C238" s="1051"/>
      <c r="D238" s="1045"/>
      <c r="E238" s="1048"/>
      <c r="F238" s="799" t="s">
        <v>14</v>
      </c>
      <c r="G238" s="108">
        <v>7400000</v>
      </c>
      <c r="H238" s="113"/>
      <c r="I238" s="108">
        <f>J238+K238</f>
        <v>3700000</v>
      </c>
      <c r="J238" s="108">
        <v>3700000</v>
      </c>
      <c r="K238" s="108"/>
      <c r="L238" s="1045"/>
    </row>
    <row r="239" spans="1:12" s="89" customFormat="1">
      <c r="A239" s="1049"/>
      <c r="B239" s="1052"/>
      <c r="C239" s="1052"/>
      <c r="D239" s="1046"/>
      <c r="E239" s="1049"/>
      <c r="F239" s="799" t="s">
        <v>15</v>
      </c>
      <c r="G239" s="108">
        <f>G237+G238</f>
        <v>7400000</v>
      </c>
      <c r="H239" s="108">
        <f>H237+H238</f>
        <v>0</v>
      </c>
      <c r="I239" s="108">
        <f>I237+I238</f>
        <v>3700000</v>
      </c>
      <c r="J239" s="108">
        <f>J237+J238</f>
        <v>3700000</v>
      </c>
      <c r="K239" s="108">
        <f>K237+K238</f>
        <v>0</v>
      </c>
      <c r="L239" s="1046"/>
    </row>
    <row r="240" spans="1:12" s="89" customFormat="1" ht="15" customHeight="1">
      <c r="A240" s="1047">
        <v>7</v>
      </c>
      <c r="B240" s="1050"/>
      <c r="C240" s="1050" t="s">
        <v>21</v>
      </c>
      <c r="D240" s="1044" t="s">
        <v>360</v>
      </c>
      <c r="E240" s="1047" t="s">
        <v>315</v>
      </c>
      <c r="F240" s="799" t="s">
        <v>13</v>
      </c>
      <c r="G240" s="108">
        <v>0</v>
      </c>
      <c r="H240" s="113">
        <v>0</v>
      </c>
      <c r="I240" s="108">
        <f>J240+K240</f>
        <v>0</v>
      </c>
      <c r="J240" s="108">
        <v>0</v>
      </c>
      <c r="K240" s="108">
        <v>0</v>
      </c>
      <c r="L240" s="1044" t="s">
        <v>305</v>
      </c>
    </row>
    <row r="241" spans="1:12" s="89" customFormat="1">
      <c r="A241" s="1048"/>
      <c r="B241" s="1051"/>
      <c r="C241" s="1051"/>
      <c r="D241" s="1045"/>
      <c r="E241" s="1048"/>
      <c r="F241" s="799" t="s">
        <v>14</v>
      </c>
      <c r="G241" s="108">
        <v>26175000</v>
      </c>
      <c r="H241" s="113"/>
      <c r="I241" s="108">
        <f>J241+K241</f>
        <v>13087500</v>
      </c>
      <c r="J241" s="108">
        <v>13087500</v>
      </c>
      <c r="K241" s="108"/>
      <c r="L241" s="1045"/>
    </row>
    <row r="242" spans="1:12" s="89" customFormat="1">
      <c r="A242" s="1049"/>
      <c r="B242" s="1052"/>
      <c r="C242" s="1052"/>
      <c r="D242" s="1046"/>
      <c r="E242" s="1049"/>
      <c r="F242" s="799" t="s">
        <v>15</v>
      </c>
      <c r="G242" s="108">
        <f>G240+G241</f>
        <v>26175000</v>
      </c>
      <c r="H242" s="108">
        <f>H240+H241</f>
        <v>0</v>
      </c>
      <c r="I242" s="108">
        <f>I240+I241</f>
        <v>13087500</v>
      </c>
      <c r="J242" s="108">
        <f>J240+J241</f>
        <v>13087500</v>
      </c>
      <c r="K242" s="108">
        <f>K240+K241</f>
        <v>0</v>
      </c>
      <c r="L242" s="1046"/>
    </row>
    <row r="243" spans="1:12" s="89" customFormat="1">
      <c r="A243" s="1047">
        <v>8</v>
      </c>
      <c r="B243" s="1050"/>
      <c r="C243" s="1050" t="s">
        <v>21</v>
      </c>
      <c r="D243" s="1044" t="s">
        <v>370</v>
      </c>
      <c r="E243" s="1047" t="s">
        <v>361</v>
      </c>
      <c r="F243" s="799" t="s">
        <v>13</v>
      </c>
      <c r="G243" s="108">
        <v>0</v>
      </c>
      <c r="H243" s="113">
        <v>0</v>
      </c>
      <c r="I243" s="108">
        <f>J243+K243</f>
        <v>0</v>
      </c>
      <c r="J243" s="108">
        <v>0</v>
      </c>
      <c r="K243" s="108">
        <v>0</v>
      </c>
      <c r="L243" s="1044" t="s">
        <v>305</v>
      </c>
    </row>
    <row r="244" spans="1:12" s="89" customFormat="1">
      <c r="A244" s="1048"/>
      <c r="B244" s="1051"/>
      <c r="C244" s="1051"/>
      <c r="D244" s="1045"/>
      <c r="E244" s="1048"/>
      <c r="F244" s="799" t="s">
        <v>14</v>
      </c>
      <c r="G244" s="108">
        <v>3000000</v>
      </c>
      <c r="H244" s="113"/>
      <c r="I244" s="108">
        <f>J244+K244</f>
        <v>1000000</v>
      </c>
      <c r="J244" s="108">
        <v>1000000</v>
      </c>
      <c r="K244" s="108"/>
      <c r="L244" s="1045"/>
    </row>
    <row r="245" spans="1:12" s="89" customFormat="1">
      <c r="A245" s="1049"/>
      <c r="B245" s="1052"/>
      <c r="C245" s="1052"/>
      <c r="D245" s="1046"/>
      <c r="E245" s="1049"/>
      <c r="F245" s="799" t="s">
        <v>15</v>
      </c>
      <c r="G245" s="108">
        <f>G243+G244</f>
        <v>3000000</v>
      </c>
      <c r="H245" s="108">
        <f>H243+H244</f>
        <v>0</v>
      </c>
      <c r="I245" s="108">
        <f>I243+I244</f>
        <v>1000000</v>
      </c>
      <c r="J245" s="108">
        <f>J243+J244</f>
        <v>1000000</v>
      </c>
      <c r="K245" s="108">
        <f>K243+K244</f>
        <v>0</v>
      </c>
      <c r="L245" s="1046"/>
    </row>
    <row r="246" spans="1:12" s="89" customFormat="1" ht="27.95" customHeight="1">
      <c r="A246" s="1047">
        <v>9</v>
      </c>
      <c r="B246" s="1050"/>
      <c r="C246" s="1050" t="s">
        <v>21</v>
      </c>
      <c r="D246" s="1044" t="s">
        <v>362</v>
      </c>
      <c r="E246" s="1047" t="s">
        <v>315</v>
      </c>
      <c r="F246" s="799" t="s">
        <v>13</v>
      </c>
      <c r="G246" s="108">
        <v>0</v>
      </c>
      <c r="H246" s="113">
        <v>0</v>
      </c>
      <c r="I246" s="108">
        <f>J246+K246</f>
        <v>0</v>
      </c>
      <c r="J246" s="108">
        <v>0</v>
      </c>
      <c r="K246" s="108">
        <v>0</v>
      </c>
      <c r="L246" s="1044" t="s">
        <v>305</v>
      </c>
    </row>
    <row r="247" spans="1:12" s="89" customFormat="1" ht="27.95" customHeight="1">
      <c r="A247" s="1048"/>
      <c r="B247" s="1051"/>
      <c r="C247" s="1051"/>
      <c r="D247" s="1045"/>
      <c r="E247" s="1048"/>
      <c r="F247" s="799" t="s">
        <v>14</v>
      </c>
      <c r="G247" s="108">
        <v>12000000</v>
      </c>
      <c r="H247" s="113"/>
      <c r="I247" s="108">
        <f>J247+K247</f>
        <v>6000000</v>
      </c>
      <c r="J247" s="108">
        <v>6000000</v>
      </c>
      <c r="K247" s="108"/>
      <c r="L247" s="1045"/>
    </row>
    <row r="248" spans="1:12" s="89" customFormat="1" ht="27.95" customHeight="1">
      <c r="A248" s="1049"/>
      <c r="B248" s="1052"/>
      <c r="C248" s="1052"/>
      <c r="D248" s="1046"/>
      <c r="E248" s="1049"/>
      <c r="F248" s="799" t="s">
        <v>15</v>
      </c>
      <c r="G248" s="108">
        <f>G246+G247</f>
        <v>12000000</v>
      </c>
      <c r="H248" s="108">
        <f>H246+H247</f>
        <v>0</v>
      </c>
      <c r="I248" s="108">
        <f>I246+I247</f>
        <v>6000000</v>
      </c>
      <c r="J248" s="108">
        <f>J246+J247</f>
        <v>6000000</v>
      </c>
      <c r="K248" s="108">
        <f>K246+K247</f>
        <v>0</v>
      </c>
      <c r="L248" s="1046"/>
    </row>
    <row r="249" spans="1:12" s="89" customFormat="1">
      <c r="A249" s="1047">
        <v>10</v>
      </c>
      <c r="B249" s="1050"/>
      <c r="C249" s="1050" t="s">
        <v>21</v>
      </c>
      <c r="D249" s="1044" t="s">
        <v>363</v>
      </c>
      <c r="E249" s="1047" t="s">
        <v>315</v>
      </c>
      <c r="F249" s="799" t="s">
        <v>13</v>
      </c>
      <c r="G249" s="108">
        <v>0</v>
      </c>
      <c r="H249" s="113">
        <v>0</v>
      </c>
      <c r="I249" s="108">
        <f>J249+K249</f>
        <v>0</v>
      </c>
      <c r="J249" s="108">
        <v>0</v>
      </c>
      <c r="K249" s="108">
        <v>0</v>
      </c>
      <c r="L249" s="1044" t="s">
        <v>305</v>
      </c>
    </row>
    <row r="250" spans="1:12" s="89" customFormat="1">
      <c r="A250" s="1048"/>
      <c r="B250" s="1051"/>
      <c r="C250" s="1051"/>
      <c r="D250" s="1045"/>
      <c r="E250" s="1048"/>
      <c r="F250" s="799" t="s">
        <v>14</v>
      </c>
      <c r="G250" s="108">
        <v>9000000</v>
      </c>
      <c r="H250" s="113"/>
      <c r="I250" s="108">
        <f>J250+K250</f>
        <v>4500000</v>
      </c>
      <c r="J250" s="108">
        <v>4500000</v>
      </c>
      <c r="K250" s="108"/>
      <c r="L250" s="1045"/>
    </row>
    <row r="251" spans="1:12" s="89" customFormat="1">
      <c r="A251" s="1049"/>
      <c r="B251" s="1052"/>
      <c r="C251" s="1052"/>
      <c r="D251" s="1046"/>
      <c r="E251" s="1049"/>
      <c r="F251" s="799" t="s">
        <v>15</v>
      </c>
      <c r="G251" s="108">
        <f>G249+G250</f>
        <v>9000000</v>
      </c>
      <c r="H251" s="108">
        <f>H249+H250</f>
        <v>0</v>
      </c>
      <c r="I251" s="108">
        <f>I249+I250</f>
        <v>4500000</v>
      </c>
      <c r="J251" s="108">
        <f>J249+J250</f>
        <v>4500000</v>
      </c>
      <c r="K251" s="108">
        <f>K249+K250</f>
        <v>0</v>
      </c>
      <c r="L251" s="1046"/>
    </row>
    <row r="252" spans="1:12" s="89" customFormat="1" ht="28.9" hidden="1" customHeight="1">
      <c r="A252" s="1047">
        <v>13</v>
      </c>
      <c r="B252" s="1050"/>
      <c r="C252" s="1050" t="s">
        <v>73</v>
      </c>
      <c r="D252" s="1044" t="s">
        <v>322</v>
      </c>
      <c r="E252" s="1047" t="s">
        <v>323</v>
      </c>
      <c r="F252" s="799" t="s">
        <v>13</v>
      </c>
      <c r="G252" s="108">
        <v>19691803</v>
      </c>
      <c r="H252" s="113">
        <v>11291803</v>
      </c>
      <c r="I252" s="108">
        <f>J252+K252</f>
        <v>4800000</v>
      </c>
      <c r="J252" s="108">
        <v>4800000</v>
      </c>
      <c r="K252" s="108">
        <v>0</v>
      </c>
      <c r="L252" s="1044" t="s">
        <v>236</v>
      </c>
    </row>
    <row r="253" spans="1:12" s="89" customFormat="1" ht="28.9" hidden="1" customHeight="1">
      <c r="A253" s="1048"/>
      <c r="B253" s="1051"/>
      <c r="C253" s="1051"/>
      <c r="D253" s="1045"/>
      <c r="E253" s="1048"/>
      <c r="F253" s="799" t="s">
        <v>14</v>
      </c>
      <c r="G253" s="108"/>
      <c r="H253" s="113"/>
      <c r="I253" s="108">
        <f>J253+K253</f>
        <v>0</v>
      </c>
      <c r="J253" s="108"/>
      <c r="K253" s="108"/>
      <c r="L253" s="1045"/>
    </row>
    <row r="254" spans="1:12" s="89" customFormat="1" ht="28.9" hidden="1" customHeight="1">
      <c r="A254" s="1049"/>
      <c r="B254" s="1052"/>
      <c r="C254" s="1052"/>
      <c r="D254" s="1046"/>
      <c r="E254" s="1049"/>
      <c r="F254" s="799" t="s">
        <v>15</v>
      </c>
      <c r="G254" s="108">
        <f>G252+G253</f>
        <v>19691803</v>
      </c>
      <c r="H254" s="108">
        <f>H252+H253</f>
        <v>11291803</v>
      </c>
      <c r="I254" s="108">
        <f>I252+I253</f>
        <v>4800000</v>
      </c>
      <c r="J254" s="108">
        <f>J252+J253</f>
        <v>4800000</v>
      </c>
      <c r="K254" s="108">
        <f>K252+K253</f>
        <v>0</v>
      </c>
      <c r="L254" s="1046"/>
    </row>
    <row r="255" spans="1:12" s="89" customFormat="1" hidden="1">
      <c r="A255" s="1047">
        <v>14</v>
      </c>
      <c r="B255" s="1050"/>
      <c r="C255" s="1050" t="s">
        <v>324</v>
      </c>
      <c r="D255" s="1044" t="s">
        <v>325</v>
      </c>
      <c r="E255" s="1047" t="s">
        <v>307</v>
      </c>
      <c r="F255" s="799" t="s">
        <v>13</v>
      </c>
      <c r="G255" s="108">
        <v>325202</v>
      </c>
      <c r="H255" s="113">
        <v>0</v>
      </c>
      <c r="I255" s="108">
        <f>J255+K255</f>
        <v>325202</v>
      </c>
      <c r="J255" s="108">
        <v>325202</v>
      </c>
      <c r="K255" s="108">
        <v>0</v>
      </c>
      <c r="L255" s="1044" t="s">
        <v>236</v>
      </c>
    </row>
    <row r="256" spans="1:12" s="89" customFormat="1" hidden="1">
      <c r="A256" s="1048"/>
      <c r="B256" s="1051"/>
      <c r="C256" s="1051"/>
      <c r="D256" s="1045"/>
      <c r="E256" s="1048"/>
      <c r="F256" s="799" t="s">
        <v>14</v>
      </c>
      <c r="G256" s="108"/>
      <c r="H256" s="113"/>
      <c r="I256" s="108">
        <f>J256+K256</f>
        <v>0</v>
      </c>
      <c r="J256" s="108"/>
      <c r="K256" s="108"/>
      <c r="L256" s="1045"/>
    </row>
    <row r="257" spans="1:12" s="89" customFormat="1" hidden="1">
      <c r="A257" s="1049"/>
      <c r="B257" s="1052"/>
      <c r="C257" s="1052"/>
      <c r="D257" s="1046"/>
      <c r="E257" s="1049"/>
      <c r="F257" s="799" t="s">
        <v>15</v>
      </c>
      <c r="G257" s="108">
        <f>G255+G256</f>
        <v>325202</v>
      </c>
      <c r="H257" s="108">
        <f>H255+H256</f>
        <v>0</v>
      </c>
      <c r="I257" s="108">
        <f>I255+I256</f>
        <v>325202</v>
      </c>
      <c r="J257" s="108">
        <f>J255+J256</f>
        <v>325202</v>
      </c>
      <c r="K257" s="108">
        <f>K255+K256</f>
        <v>0</v>
      </c>
      <c r="L257" s="1046"/>
    </row>
    <row r="258" spans="1:12" s="89" customFormat="1">
      <c r="A258" s="1047">
        <v>11</v>
      </c>
      <c r="B258" s="1050"/>
      <c r="C258" s="1050" t="s">
        <v>324</v>
      </c>
      <c r="D258" s="1044" t="s">
        <v>377</v>
      </c>
      <c r="E258" s="1047" t="s">
        <v>374</v>
      </c>
      <c r="F258" s="799" t="s">
        <v>13</v>
      </c>
      <c r="G258" s="108">
        <v>0</v>
      </c>
      <c r="H258" s="113">
        <v>0</v>
      </c>
      <c r="I258" s="108">
        <f>J258+K258</f>
        <v>0</v>
      </c>
      <c r="J258" s="108">
        <v>0</v>
      </c>
      <c r="K258" s="108">
        <v>0</v>
      </c>
      <c r="L258" s="1044" t="s">
        <v>274</v>
      </c>
    </row>
    <row r="259" spans="1:12" s="89" customFormat="1">
      <c r="A259" s="1048"/>
      <c r="B259" s="1051"/>
      <c r="C259" s="1051"/>
      <c r="D259" s="1045"/>
      <c r="E259" s="1048"/>
      <c r="F259" s="799" t="s">
        <v>14</v>
      </c>
      <c r="G259" s="108">
        <v>12504676</v>
      </c>
      <c r="H259" s="113"/>
      <c r="I259" s="108">
        <f>J259+K259</f>
        <v>6014</v>
      </c>
      <c r="J259" s="108">
        <v>6014</v>
      </c>
      <c r="K259" s="108"/>
      <c r="L259" s="1045"/>
    </row>
    <row r="260" spans="1:12" s="89" customFormat="1">
      <c r="A260" s="1049"/>
      <c r="B260" s="1052"/>
      <c r="C260" s="1052"/>
      <c r="D260" s="1046"/>
      <c r="E260" s="1049"/>
      <c r="F260" s="799" t="s">
        <v>15</v>
      </c>
      <c r="G260" s="108">
        <f>G258+G259</f>
        <v>12504676</v>
      </c>
      <c r="H260" s="108">
        <f>H258+H259</f>
        <v>0</v>
      </c>
      <c r="I260" s="108">
        <f>I258+I259</f>
        <v>6014</v>
      </c>
      <c r="J260" s="108">
        <f>J258+J259</f>
        <v>6014</v>
      </c>
      <c r="K260" s="108">
        <f>K258+K259</f>
        <v>0</v>
      </c>
      <c r="L260" s="1046"/>
    </row>
    <row r="261" spans="1:12" s="107" customFormat="1" ht="15" customHeight="1">
      <c r="A261" s="1061"/>
      <c r="B261" s="1094" t="s">
        <v>22</v>
      </c>
      <c r="C261" s="1094"/>
      <c r="D261" s="1097" t="s">
        <v>23</v>
      </c>
      <c r="E261" s="1061" t="s">
        <v>220</v>
      </c>
      <c r="F261" s="802" t="s">
        <v>13</v>
      </c>
      <c r="G261" s="106">
        <f t="shared" ref="G261:K262" si="15">G264+G267</f>
        <v>339600</v>
      </c>
      <c r="H261" s="106">
        <f t="shared" si="15"/>
        <v>94340</v>
      </c>
      <c r="I261" s="106">
        <f t="shared" si="15"/>
        <v>22640</v>
      </c>
      <c r="J261" s="106">
        <f t="shared" si="15"/>
        <v>22640</v>
      </c>
      <c r="K261" s="106">
        <f t="shared" si="15"/>
        <v>0</v>
      </c>
      <c r="L261" s="1061" t="s">
        <v>220</v>
      </c>
    </row>
    <row r="262" spans="1:12" s="107" customFormat="1" ht="15" customHeight="1">
      <c r="A262" s="1062"/>
      <c r="B262" s="1095"/>
      <c r="C262" s="1095"/>
      <c r="D262" s="1098"/>
      <c r="E262" s="1062"/>
      <c r="F262" s="802" t="s">
        <v>14</v>
      </c>
      <c r="G262" s="106">
        <f t="shared" si="15"/>
        <v>780000</v>
      </c>
      <c r="H262" s="106">
        <f t="shared" si="15"/>
        <v>0</v>
      </c>
      <c r="I262" s="106">
        <f t="shared" si="15"/>
        <v>60000</v>
      </c>
      <c r="J262" s="106">
        <f t="shared" si="15"/>
        <v>60000</v>
      </c>
      <c r="K262" s="106">
        <f t="shared" si="15"/>
        <v>0</v>
      </c>
      <c r="L262" s="1062"/>
    </row>
    <row r="263" spans="1:12" s="107" customFormat="1" ht="15" customHeight="1">
      <c r="A263" s="1063"/>
      <c r="B263" s="1096"/>
      <c r="C263" s="1096"/>
      <c r="D263" s="1099"/>
      <c r="E263" s="1063"/>
      <c r="F263" s="802" t="s">
        <v>15</v>
      </c>
      <c r="G263" s="106">
        <f>G261+G262</f>
        <v>1119600</v>
      </c>
      <c r="H263" s="106">
        <f>H261+H262</f>
        <v>94340</v>
      </c>
      <c r="I263" s="106">
        <f>I261+I262</f>
        <v>82640</v>
      </c>
      <c r="J263" s="106">
        <f>J261+J262</f>
        <v>82640</v>
      </c>
      <c r="K263" s="106">
        <f>K261+K262</f>
        <v>0</v>
      </c>
      <c r="L263" s="1063"/>
    </row>
    <row r="264" spans="1:12" s="89" customFormat="1" hidden="1">
      <c r="A264" s="1047">
        <v>15</v>
      </c>
      <c r="B264" s="1050"/>
      <c r="C264" s="1050" t="s">
        <v>24</v>
      </c>
      <c r="D264" s="1044" t="s">
        <v>326</v>
      </c>
      <c r="E264" s="1047" t="s">
        <v>327</v>
      </c>
      <c r="F264" s="799" t="s">
        <v>13</v>
      </c>
      <c r="G264" s="108">
        <v>339600</v>
      </c>
      <c r="H264" s="113">
        <f>3780+22640+22640+22640+22640</f>
        <v>94340</v>
      </c>
      <c r="I264" s="108">
        <f>J264+K264</f>
        <v>22640</v>
      </c>
      <c r="J264" s="108">
        <v>22640</v>
      </c>
      <c r="K264" s="108">
        <v>0</v>
      </c>
      <c r="L264" s="1044" t="s">
        <v>236</v>
      </c>
    </row>
    <row r="265" spans="1:12" s="89" customFormat="1" hidden="1">
      <c r="A265" s="1048"/>
      <c r="B265" s="1051"/>
      <c r="C265" s="1051"/>
      <c r="D265" s="1045"/>
      <c r="E265" s="1048"/>
      <c r="F265" s="799" t="s">
        <v>14</v>
      </c>
      <c r="G265" s="108"/>
      <c r="H265" s="113"/>
      <c r="I265" s="108">
        <f>J265+K265</f>
        <v>0</v>
      </c>
      <c r="J265" s="108"/>
      <c r="K265" s="108"/>
      <c r="L265" s="1045"/>
    </row>
    <row r="266" spans="1:12" s="89" customFormat="1" hidden="1">
      <c r="A266" s="1049"/>
      <c r="B266" s="1052"/>
      <c r="C266" s="1052"/>
      <c r="D266" s="1046"/>
      <c r="E266" s="1049"/>
      <c r="F266" s="799" t="s">
        <v>15</v>
      </c>
      <c r="G266" s="108">
        <f>G264+G265</f>
        <v>339600</v>
      </c>
      <c r="H266" s="108">
        <f>H264+H265</f>
        <v>94340</v>
      </c>
      <c r="I266" s="108">
        <f>I264+I265</f>
        <v>22640</v>
      </c>
      <c r="J266" s="108">
        <f>J264+J265</f>
        <v>22640</v>
      </c>
      <c r="K266" s="108">
        <f>K264+K265</f>
        <v>0</v>
      </c>
      <c r="L266" s="1046"/>
    </row>
    <row r="267" spans="1:12" s="89" customFormat="1">
      <c r="A267" s="1047">
        <v>12</v>
      </c>
      <c r="B267" s="1050"/>
      <c r="C267" s="1050" t="s">
        <v>24</v>
      </c>
      <c r="D267" s="1044" t="s">
        <v>364</v>
      </c>
      <c r="E267" s="1047" t="s">
        <v>315</v>
      </c>
      <c r="F267" s="799" t="s">
        <v>13</v>
      </c>
      <c r="G267" s="108">
        <v>0</v>
      </c>
      <c r="H267" s="113">
        <v>0</v>
      </c>
      <c r="I267" s="108">
        <f>J267+K267</f>
        <v>0</v>
      </c>
      <c r="J267" s="108">
        <v>0</v>
      </c>
      <c r="K267" s="108">
        <v>0</v>
      </c>
      <c r="L267" s="1044" t="s">
        <v>236</v>
      </c>
    </row>
    <row r="268" spans="1:12" s="89" customFormat="1">
      <c r="A268" s="1048"/>
      <c r="B268" s="1051"/>
      <c r="C268" s="1051"/>
      <c r="D268" s="1045"/>
      <c r="E268" s="1048"/>
      <c r="F268" s="799" t="s">
        <v>14</v>
      </c>
      <c r="G268" s="108">
        <v>780000</v>
      </c>
      <c r="H268" s="113"/>
      <c r="I268" s="108">
        <f>J268+K268</f>
        <v>60000</v>
      </c>
      <c r="J268" s="108">
        <v>60000</v>
      </c>
      <c r="K268" s="108"/>
      <c r="L268" s="1045"/>
    </row>
    <row r="269" spans="1:12" s="89" customFormat="1">
      <c r="A269" s="1049"/>
      <c r="B269" s="1052"/>
      <c r="C269" s="1052"/>
      <c r="D269" s="1046"/>
      <c r="E269" s="1049"/>
      <c r="F269" s="799" t="s">
        <v>15</v>
      </c>
      <c r="G269" s="108">
        <f>G267+G268</f>
        <v>780000</v>
      </c>
      <c r="H269" s="108">
        <f>H267+H268</f>
        <v>0</v>
      </c>
      <c r="I269" s="108">
        <f>I267+I268</f>
        <v>60000</v>
      </c>
      <c r="J269" s="108">
        <f>J267+J268</f>
        <v>60000</v>
      </c>
      <c r="K269" s="108">
        <f>K267+K268</f>
        <v>0</v>
      </c>
      <c r="L269" s="1046"/>
    </row>
    <row r="270" spans="1:12" s="107" customFormat="1" ht="15" customHeight="1">
      <c r="A270" s="1061"/>
      <c r="B270" s="1094" t="s">
        <v>69</v>
      </c>
      <c r="C270" s="1094"/>
      <c r="D270" s="1097" t="s">
        <v>70</v>
      </c>
      <c r="E270" s="1061" t="s">
        <v>220</v>
      </c>
      <c r="F270" s="802" t="s">
        <v>13</v>
      </c>
      <c r="G270" s="114">
        <f t="shared" ref="G270:K271" si="16">G273</f>
        <v>914225</v>
      </c>
      <c r="H270" s="114">
        <f t="shared" si="16"/>
        <v>657734</v>
      </c>
      <c r="I270" s="114">
        <f t="shared" si="16"/>
        <v>256491</v>
      </c>
      <c r="J270" s="114">
        <f t="shared" si="16"/>
        <v>256491</v>
      </c>
      <c r="K270" s="114">
        <f t="shared" si="16"/>
        <v>0</v>
      </c>
      <c r="L270" s="1116" t="s">
        <v>220</v>
      </c>
    </row>
    <row r="271" spans="1:12" s="107" customFormat="1" ht="15" customHeight="1">
      <c r="A271" s="1062"/>
      <c r="B271" s="1095"/>
      <c r="C271" s="1095"/>
      <c r="D271" s="1098"/>
      <c r="E271" s="1062"/>
      <c r="F271" s="802" t="s">
        <v>14</v>
      </c>
      <c r="G271" s="114">
        <f t="shared" si="16"/>
        <v>0</v>
      </c>
      <c r="H271" s="114">
        <f t="shared" si="16"/>
        <v>-469157</v>
      </c>
      <c r="I271" s="114">
        <f t="shared" si="16"/>
        <v>459505</v>
      </c>
      <c r="J271" s="114">
        <f t="shared" si="16"/>
        <v>459505</v>
      </c>
      <c r="K271" s="114">
        <f t="shared" si="16"/>
        <v>0</v>
      </c>
      <c r="L271" s="1117"/>
    </row>
    <row r="272" spans="1:12" s="107" customFormat="1" ht="15" customHeight="1">
      <c r="A272" s="1063"/>
      <c r="B272" s="1096"/>
      <c r="C272" s="1096"/>
      <c r="D272" s="1099"/>
      <c r="E272" s="1063"/>
      <c r="F272" s="802" t="s">
        <v>15</v>
      </c>
      <c r="G272" s="114">
        <f>G270+G271</f>
        <v>914225</v>
      </c>
      <c r="H272" s="114">
        <f>H270+H271</f>
        <v>188577</v>
      </c>
      <c r="I272" s="114">
        <f>I270+I271</f>
        <v>715996</v>
      </c>
      <c r="J272" s="114">
        <f>J270+J271</f>
        <v>715996</v>
      </c>
      <c r="K272" s="114">
        <f>K270+K271</f>
        <v>0</v>
      </c>
      <c r="L272" s="1118"/>
    </row>
    <row r="273" spans="1:12" s="89" customFormat="1">
      <c r="A273" s="1047">
        <v>13</v>
      </c>
      <c r="B273" s="1050"/>
      <c r="C273" s="1050" t="s">
        <v>71</v>
      </c>
      <c r="D273" s="1044" t="s">
        <v>328</v>
      </c>
      <c r="E273" s="1047" t="s">
        <v>330</v>
      </c>
      <c r="F273" s="799" t="s">
        <v>13</v>
      </c>
      <c r="G273" s="108">
        <v>914225</v>
      </c>
      <c r="H273" s="113">
        <f>17553+97009+543172</f>
        <v>657734</v>
      </c>
      <c r="I273" s="108">
        <f>J273+K273</f>
        <v>256491</v>
      </c>
      <c r="J273" s="108">
        <v>256491</v>
      </c>
      <c r="K273" s="108">
        <v>0</v>
      </c>
      <c r="L273" s="1044" t="s">
        <v>236</v>
      </c>
    </row>
    <row r="274" spans="1:12" s="89" customFormat="1">
      <c r="A274" s="1048"/>
      <c r="B274" s="1051"/>
      <c r="C274" s="1051"/>
      <c r="D274" s="1045"/>
      <c r="E274" s="1048"/>
      <c r="F274" s="799" t="s">
        <v>14</v>
      </c>
      <c r="G274" s="108"/>
      <c r="H274" s="113">
        <v>-469157</v>
      </c>
      <c r="I274" s="108">
        <f>J274+K274</f>
        <v>459505</v>
      </c>
      <c r="J274" s="108">
        <v>459505</v>
      </c>
      <c r="K274" s="108"/>
      <c r="L274" s="1045"/>
    </row>
    <row r="275" spans="1:12" s="89" customFormat="1">
      <c r="A275" s="1049"/>
      <c r="B275" s="1052"/>
      <c r="C275" s="1052"/>
      <c r="D275" s="1046"/>
      <c r="E275" s="1049"/>
      <c r="F275" s="806" t="s">
        <v>15</v>
      </c>
      <c r="G275" s="108">
        <f>G273+G274</f>
        <v>914225</v>
      </c>
      <c r="H275" s="108">
        <f>H273+H274</f>
        <v>188577</v>
      </c>
      <c r="I275" s="108">
        <f>I273+I274</f>
        <v>715996</v>
      </c>
      <c r="J275" s="108">
        <f>J273+J274</f>
        <v>715996</v>
      </c>
      <c r="K275" s="108">
        <f>K273+K274</f>
        <v>0</v>
      </c>
      <c r="L275" s="1046"/>
    </row>
    <row r="276" spans="1:12" s="107" customFormat="1" hidden="1">
      <c r="A276" s="1061"/>
      <c r="B276" s="1094" t="s">
        <v>198</v>
      </c>
      <c r="C276" s="1094"/>
      <c r="D276" s="1097" t="s">
        <v>199</v>
      </c>
      <c r="E276" s="1061" t="s">
        <v>220</v>
      </c>
      <c r="F276" s="802" t="s">
        <v>13</v>
      </c>
      <c r="G276" s="106">
        <f t="shared" ref="G276:K277" si="17">G279</f>
        <v>9978062</v>
      </c>
      <c r="H276" s="106">
        <f t="shared" si="17"/>
        <v>2825075</v>
      </c>
      <c r="I276" s="106">
        <f t="shared" si="17"/>
        <v>3450000</v>
      </c>
      <c r="J276" s="106">
        <f t="shared" si="17"/>
        <v>3450000</v>
      </c>
      <c r="K276" s="106">
        <f t="shared" si="17"/>
        <v>0</v>
      </c>
      <c r="L276" s="1061" t="s">
        <v>220</v>
      </c>
    </row>
    <row r="277" spans="1:12" s="107" customFormat="1" hidden="1">
      <c r="A277" s="1062"/>
      <c r="B277" s="1095"/>
      <c r="C277" s="1095"/>
      <c r="D277" s="1098"/>
      <c r="E277" s="1062"/>
      <c r="F277" s="802" t="s">
        <v>14</v>
      </c>
      <c r="G277" s="106">
        <f t="shared" si="17"/>
        <v>0</v>
      </c>
      <c r="H277" s="106">
        <f t="shared" si="17"/>
        <v>0</v>
      </c>
      <c r="I277" s="106">
        <f t="shared" si="17"/>
        <v>0</v>
      </c>
      <c r="J277" s="106">
        <f t="shared" si="17"/>
        <v>0</v>
      </c>
      <c r="K277" s="106">
        <f t="shared" si="17"/>
        <v>0</v>
      </c>
      <c r="L277" s="1062"/>
    </row>
    <row r="278" spans="1:12" s="107" customFormat="1" hidden="1">
      <c r="A278" s="1063"/>
      <c r="B278" s="1096"/>
      <c r="C278" s="1096"/>
      <c r="D278" s="1099"/>
      <c r="E278" s="1063"/>
      <c r="F278" s="802" t="s">
        <v>15</v>
      </c>
      <c r="G278" s="106">
        <f>G276+G277</f>
        <v>9978062</v>
      </c>
      <c r="H278" s="106">
        <f>H276+H277</f>
        <v>2825075</v>
      </c>
      <c r="I278" s="106">
        <f>I276+I277</f>
        <v>3450000</v>
      </c>
      <c r="J278" s="106">
        <f>J276+J277</f>
        <v>3450000</v>
      </c>
      <c r="K278" s="106">
        <f>K276+K277</f>
        <v>0</v>
      </c>
      <c r="L278" s="1063"/>
    </row>
    <row r="279" spans="1:12" s="89" customFormat="1" hidden="1">
      <c r="A279" s="1047">
        <v>17</v>
      </c>
      <c r="B279" s="1050"/>
      <c r="C279" s="1050" t="s">
        <v>202</v>
      </c>
      <c r="D279" s="1044" t="s">
        <v>329</v>
      </c>
      <c r="E279" s="1047" t="s">
        <v>330</v>
      </c>
      <c r="F279" s="799" t="s">
        <v>13</v>
      </c>
      <c r="G279" s="108">
        <v>9978062</v>
      </c>
      <c r="H279" s="113">
        <f>15000+202781+2607294</f>
        <v>2825075</v>
      </c>
      <c r="I279" s="108">
        <f>J279+K279</f>
        <v>3450000</v>
      </c>
      <c r="J279" s="108">
        <v>3450000</v>
      </c>
      <c r="K279" s="108">
        <v>0</v>
      </c>
      <c r="L279" s="1044" t="s">
        <v>236</v>
      </c>
    </row>
    <row r="280" spans="1:12" s="89" customFormat="1" hidden="1">
      <c r="A280" s="1048"/>
      <c r="B280" s="1051"/>
      <c r="C280" s="1051"/>
      <c r="D280" s="1045"/>
      <c r="E280" s="1048"/>
      <c r="F280" s="799" t="s">
        <v>14</v>
      </c>
      <c r="G280" s="108"/>
      <c r="H280" s="113"/>
      <c r="I280" s="108">
        <f>J280+K280</f>
        <v>0</v>
      </c>
      <c r="J280" s="108"/>
      <c r="K280" s="108"/>
      <c r="L280" s="1045"/>
    </row>
    <row r="281" spans="1:12" s="89" customFormat="1" hidden="1">
      <c r="A281" s="1049"/>
      <c r="B281" s="1052"/>
      <c r="C281" s="1052"/>
      <c r="D281" s="1046"/>
      <c r="E281" s="1049"/>
      <c r="F281" s="799" t="s">
        <v>15</v>
      </c>
      <c r="G281" s="108">
        <f>G279+G280</f>
        <v>9978062</v>
      </c>
      <c r="H281" s="108">
        <f>H279+H280</f>
        <v>2825075</v>
      </c>
      <c r="I281" s="108">
        <f>I279+I280</f>
        <v>3450000</v>
      </c>
      <c r="J281" s="108">
        <f>J279+J280</f>
        <v>3450000</v>
      </c>
      <c r="K281" s="108">
        <f>K279+K280</f>
        <v>0</v>
      </c>
      <c r="L281" s="1046"/>
    </row>
    <row r="282" spans="1:12" s="107" customFormat="1" hidden="1">
      <c r="A282" s="1061"/>
      <c r="B282" s="1094" t="s">
        <v>28</v>
      </c>
      <c r="C282" s="1094"/>
      <c r="D282" s="1097" t="s">
        <v>29</v>
      </c>
      <c r="E282" s="1061" t="s">
        <v>220</v>
      </c>
      <c r="F282" s="802" t="s">
        <v>13</v>
      </c>
      <c r="G282" s="106">
        <f t="shared" ref="G282:K283" si="18">G285</f>
        <v>27625259</v>
      </c>
      <c r="H282" s="106">
        <f t="shared" si="18"/>
        <v>2459934</v>
      </c>
      <c r="I282" s="106">
        <f t="shared" si="18"/>
        <v>4165325</v>
      </c>
      <c r="J282" s="106">
        <f t="shared" si="18"/>
        <v>4165325</v>
      </c>
      <c r="K282" s="106">
        <f t="shared" si="18"/>
        <v>0</v>
      </c>
      <c r="L282" s="1061" t="s">
        <v>220</v>
      </c>
    </row>
    <row r="283" spans="1:12" s="107" customFormat="1" hidden="1">
      <c r="A283" s="1062"/>
      <c r="B283" s="1095"/>
      <c r="C283" s="1095"/>
      <c r="D283" s="1098"/>
      <c r="E283" s="1062"/>
      <c r="F283" s="802" t="s">
        <v>14</v>
      </c>
      <c r="G283" s="106">
        <f t="shared" si="18"/>
        <v>0</v>
      </c>
      <c r="H283" s="106">
        <f t="shared" si="18"/>
        <v>0</v>
      </c>
      <c r="I283" s="106">
        <f t="shared" si="18"/>
        <v>0</v>
      </c>
      <c r="J283" s="106">
        <f t="shared" si="18"/>
        <v>0</v>
      </c>
      <c r="K283" s="106">
        <f t="shared" si="18"/>
        <v>0</v>
      </c>
      <c r="L283" s="1062"/>
    </row>
    <row r="284" spans="1:12" s="107" customFormat="1" hidden="1">
      <c r="A284" s="1063"/>
      <c r="B284" s="1096"/>
      <c r="C284" s="1096"/>
      <c r="D284" s="1099"/>
      <c r="E284" s="1063"/>
      <c r="F284" s="802" t="s">
        <v>15</v>
      </c>
      <c r="G284" s="106">
        <f>G282+G283</f>
        <v>27625259</v>
      </c>
      <c r="H284" s="106">
        <f>H282+H283</f>
        <v>2459934</v>
      </c>
      <c r="I284" s="106">
        <f>I282+I283</f>
        <v>4165325</v>
      </c>
      <c r="J284" s="106">
        <f>J282+J283</f>
        <v>4165325</v>
      </c>
      <c r="K284" s="106">
        <f>K282+K283</f>
        <v>0</v>
      </c>
      <c r="L284" s="1063"/>
    </row>
    <row r="285" spans="1:12" s="89" customFormat="1" hidden="1">
      <c r="A285" s="1047">
        <v>18</v>
      </c>
      <c r="B285" s="1050"/>
      <c r="C285" s="1050" t="s">
        <v>30</v>
      </c>
      <c r="D285" s="1044" t="s">
        <v>331</v>
      </c>
      <c r="E285" s="1047" t="s">
        <v>332</v>
      </c>
      <c r="F285" s="799" t="s">
        <v>13</v>
      </c>
      <c r="G285" s="108">
        <v>27625259</v>
      </c>
      <c r="H285" s="113">
        <f>849330+476748+406397+4428+29624+108732+584675</f>
        <v>2459934</v>
      </c>
      <c r="I285" s="108">
        <f>J285+K285</f>
        <v>4165325</v>
      </c>
      <c r="J285" s="108">
        <v>4165325</v>
      </c>
      <c r="K285" s="108">
        <v>0</v>
      </c>
      <c r="L285" s="1119" t="s">
        <v>236</v>
      </c>
    </row>
    <row r="286" spans="1:12" s="89" customFormat="1" hidden="1">
      <c r="A286" s="1048"/>
      <c r="B286" s="1051"/>
      <c r="C286" s="1051"/>
      <c r="D286" s="1045"/>
      <c r="E286" s="1048"/>
      <c r="F286" s="799" t="s">
        <v>14</v>
      </c>
      <c r="G286" s="108"/>
      <c r="H286" s="113"/>
      <c r="I286" s="108">
        <f>J286+K286</f>
        <v>0</v>
      </c>
      <c r="J286" s="108"/>
      <c r="K286" s="108"/>
      <c r="L286" s="1120"/>
    </row>
    <row r="287" spans="1:12" s="89" customFormat="1" hidden="1">
      <c r="A287" s="1049"/>
      <c r="B287" s="1052"/>
      <c r="C287" s="1052"/>
      <c r="D287" s="1046"/>
      <c r="E287" s="1049"/>
      <c r="F287" s="799" t="s">
        <v>15</v>
      </c>
      <c r="G287" s="108">
        <f>G285+G286</f>
        <v>27625259</v>
      </c>
      <c r="H287" s="108">
        <f>H285+H286</f>
        <v>2459934</v>
      </c>
      <c r="I287" s="108">
        <f>I285+I286</f>
        <v>4165325</v>
      </c>
      <c r="J287" s="108">
        <f>J285+J286</f>
        <v>4165325</v>
      </c>
      <c r="K287" s="108">
        <f>K285+K286</f>
        <v>0</v>
      </c>
      <c r="L287" s="1121"/>
    </row>
    <row r="288" spans="1:12" s="107" customFormat="1" hidden="1">
      <c r="A288" s="1061"/>
      <c r="B288" s="1094" t="s">
        <v>31</v>
      </c>
      <c r="C288" s="1094"/>
      <c r="D288" s="1097" t="s">
        <v>32</v>
      </c>
      <c r="E288" s="1061" t="s">
        <v>220</v>
      </c>
      <c r="F288" s="802" t="s">
        <v>13</v>
      </c>
      <c r="G288" s="106">
        <f t="shared" ref="G288:K289" si="19">G291</f>
        <v>7500000</v>
      </c>
      <c r="H288" s="106">
        <f t="shared" si="19"/>
        <v>0</v>
      </c>
      <c r="I288" s="106">
        <f t="shared" si="19"/>
        <v>750000</v>
      </c>
      <c r="J288" s="106">
        <f t="shared" si="19"/>
        <v>750000</v>
      </c>
      <c r="K288" s="106">
        <f t="shared" si="19"/>
        <v>0</v>
      </c>
      <c r="L288" s="1061" t="s">
        <v>220</v>
      </c>
    </row>
    <row r="289" spans="1:12" s="107" customFormat="1" hidden="1">
      <c r="A289" s="1062"/>
      <c r="B289" s="1095"/>
      <c r="C289" s="1095"/>
      <c r="D289" s="1098"/>
      <c r="E289" s="1062"/>
      <c r="F289" s="802" t="s">
        <v>14</v>
      </c>
      <c r="G289" s="106">
        <f t="shared" si="19"/>
        <v>0</v>
      </c>
      <c r="H289" s="106">
        <f t="shared" si="19"/>
        <v>0</v>
      </c>
      <c r="I289" s="106">
        <f t="shared" si="19"/>
        <v>0</v>
      </c>
      <c r="J289" s="106">
        <f t="shared" si="19"/>
        <v>0</v>
      </c>
      <c r="K289" s="106">
        <f t="shared" si="19"/>
        <v>0</v>
      </c>
      <c r="L289" s="1062"/>
    </row>
    <row r="290" spans="1:12" s="107" customFormat="1" hidden="1">
      <c r="A290" s="1063"/>
      <c r="B290" s="1096"/>
      <c r="C290" s="1096"/>
      <c r="D290" s="1099"/>
      <c r="E290" s="1063"/>
      <c r="F290" s="802" t="s">
        <v>15</v>
      </c>
      <c r="G290" s="106">
        <f>G288+G289</f>
        <v>7500000</v>
      </c>
      <c r="H290" s="106">
        <f>H288+H289</f>
        <v>0</v>
      </c>
      <c r="I290" s="106">
        <f>I288+I289</f>
        <v>750000</v>
      </c>
      <c r="J290" s="106">
        <f>J288+J289</f>
        <v>750000</v>
      </c>
      <c r="K290" s="106">
        <f>K288+K289</f>
        <v>0</v>
      </c>
      <c r="L290" s="1063"/>
    </row>
    <row r="291" spans="1:12" s="89" customFormat="1" hidden="1">
      <c r="A291" s="1047">
        <v>19</v>
      </c>
      <c r="B291" s="1050"/>
      <c r="C291" s="1050" t="s">
        <v>72</v>
      </c>
      <c r="D291" s="1044" t="s">
        <v>333</v>
      </c>
      <c r="E291" s="1047" t="s">
        <v>334</v>
      </c>
      <c r="F291" s="799" t="s">
        <v>13</v>
      </c>
      <c r="G291" s="108">
        <v>7500000</v>
      </c>
      <c r="H291" s="113">
        <v>0</v>
      </c>
      <c r="I291" s="108">
        <f>J291+K291</f>
        <v>750000</v>
      </c>
      <c r="J291" s="108">
        <v>750000</v>
      </c>
      <c r="K291" s="108">
        <v>0</v>
      </c>
      <c r="L291" s="1044" t="s">
        <v>236</v>
      </c>
    </row>
    <row r="292" spans="1:12" s="89" customFormat="1" hidden="1">
      <c r="A292" s="1048"/>
      <c r="B292" s="1051"/>
      <c r="C292" s="1051"/>
      <c r="D292" s="1045"/>
      <c r="E292" s="1048"/>
      <c r="F292" s="799" t="s">
        <v>14</v>
      </c>
      <c r="G292" s="108"/>
      <c r="H292" s="113"/>
      <c r="I292" s="108">
        <f>J292+K292</f>
        <v>0</v>
      </c>
      <c r="J292" s="108"/>
      <c r="K292" s="108"/>
      <c r="L292" s="1045"/>
    </row>
    <row r="293" spans="1:12" s="89" customFormat="1" hidden="1">
      <c r="A293" s="1049"/>
      <c r="B293" s="1052"/>
      <c r="C293" s="1052"/>
      <c r="D293" s="1046"/>
      <c r="E293" s="1049"/>
      <c r="F293" s="799" t="s">
        <v>15</v>
      </c>
      <c r="G293" s="108">
        <f>G291+G292</f>
        <v>7500000</v>
      </c>
      <c r="H293" s="108">
        <f>H291+H292</f>
        <v>0</v>
      </c>
      <c r="I293" s="108">
        <f>I291+I292</f>
        <v>750000</v>
      </c>
      <c r="J293" s="108">
        <f>J291+J292</f>
        <v>750000</v>
      </c>
      <c r="K293" s="108">
        <f>K291+K292</f>
        <v>0</v>
      </c>
      <c r="L293" s="1046"/>
    </row>
    <row r="294" spans="1:12" s="107" customFormat="1" ht="16.899999999999999" customHeight="1">
      <c r="A294" s="1061"/>
      <c r="B294" s="1094" t="s">
        <v>271</v>
      </c>
      <c r="C294" s="1094"/>
      <c r="D294" s="1109" t="s">
        <v>39</v>
      </c>
      <c r="E294" s="1061" t="s">
        <v>220</v>
      </c>
      <c r="F294" s="802" t="s">
        <v>13</v>
      </c>
      <c r="G294" s="106">
        <f t="shared" ref="G294:K295" si="20">G297+G300+G303+G318+G321+G315+G306+G324+G309+G312</f>
        <v>25530697</v>
      </c>
      <c r="H294" s="106">
        <f t="shared" si="20"/>
        <v>15511336</v>
      </c>
      <c r="I294" s="106">
        <f t="shared" si="20"/>
        <v>2139347</v>
      </c>
      <c r="J294" s="106">
        <f t="shared" si="20"/>
        <v>2139347</v>
      </c>
      <c r="K294" s="106">
        <f t="shared" si="20"/>
        <v>0</v>
      </c>
      <c r="L294" s="1061" t="s">
        <v>220</v>
      </c>
    </row>
    <row r="295" spans="1:12" s="107" customFormat="1" ht="16.899999999999999" customHeight="1">
      <c r="A295" s="1062"/>
      <c r="B295" s="1095"/>
      <c r="C295" s="1095"/>
      <c r="D295" s="1110"/>
      <c r="E295" s="1062"/>
      <c r="F295" s="802" t="s">
        <v>14</v>
      </c>
      <c r="G295" s="106">
        <f t="shared" si="20"/>
        <v>65394689</v>
      </c>
      <c r="H295" s="106">
        <f t="shared" si="20"/>
        <v>2664211</v>
      </c>
      <c r="I295" s="106">
        <f t="shared" si="20"/>
        <v>5512632</v>
      </c>
      <c r="J295" s="106">
        <f t="shared" si="20"/>
        <v>5512632</v>
      </c>
      <c r="K295" s="106">
        <f t="shared" si="20"/>
        <v>0</v>
      </c>
      <c r="L295" s="1062"/>
    </row>
    <row r="296" spans="1:12" s="107" customFormat="1" ht="16.899999999999999" customHeight="1">
      <c r="A296" s="1063"/>
      <c r="B296" s="1096"/>
      <c r="C296" s="1096"/>
      <c r="D296" s="1111"/>
      <c r="E296" s="1063"/>
      <c r="F296" s="802" t="s">
        <v>15</v>
      </c>
      <c r="G296" s="106">
        <f>G294+G295</f>
        <v>90925386</v>
      </c>
      <c r="H296" s="106">
        <f>H294+H295</f>
        <v>18175547</v>
      </c>
      <c r="I296" s="106">
        <f>I294+I295</f>
        <v>7651979</v>
      </c>
      <c r="J296" s="106">
        <f>J294+J295</f>
        <v>7651979</v>
      </c>
      <c r="K296" s="106">
        <f>K294+K295</f>
        <v>0</v>
      </c>
      <c r="L296" s="1063"/>
    </row>
    <row r="297" spans="1:12" s="89" customFormat="1" ht="22.9" hidden="1" customHeight="1">
      <c r="A297" s="1047">
        <v>20</v>
      </c>
      <c r="B297" s="1050"/>
      <c r="C297" s="1050" t="s">
        <v>272</v>
      </c>
      <c r="D297" s="1044" t="s">
        <v>371</v>
      </c>
      <c r="E297" s="1047" t="s">
        <v>335</v>
      </c>
      <c r="F297" s="799" t="s">
        <v>13</v>
      </c>
      <c r="G297" s="108">
        <v>9575438</v>
      </c>
      <c r="H297" s="113">
        <f>116783+1183093</f>
        <v>1299876</v>
      </c>
      <c r="I297" s="108">
        <f>J297+K297</f>
        <v>1148001</v>
      </c>
      <c r="J297" s="108">
        <v>1148001</v>
      </c>
      <c r="K297" s="108">
        <v>0</v>
      </c>
      <c r="L297" s="1044" t="s">
        <v>336</v>
      </c>
    </row>
    <row r="298" spans="1:12" s="89" customFormat="1" ht="22.9" hidden="1" customHeight="1">
      <c r="A298" s="1048"/>
      <c r="B298" s="1051"/>
      <c r="C298" s="1051"/>
      <c r="D298" s="1045"/>
      <c r="E298" s="1048"/>
      <c r="F298" s="799" t="s">
        <v>14</v>
      </c>
      <c r="G298" s="108"/>
      <c r="H298" s="113"/>
      <c r="I298" s="108">
        <f>J298+K298</f>
        <v>0</v>
      </c>
      <c r="J298" s="108"/>
      <c r="K298" s="108"/>
      <c r="L298" s="1045"/>
    </row>
    <row r="299" spans="1:12" s="89" customFormat="1" ht="22.9" hidden="1" customHeight="1">
      <c r="A299" s="1049"/>
      <c r="B299" s="1052"/>
      <c r="C299" s="1052"/>
      <c r="D299" s="1046"/>
      <c r="E299" s="1049"/>
      <c r="F299" s="799" t="s">
        <v>15</v>
      </c>
      <c r="G299" s="108">
        <f>G297+G298</f>
        <v>9575438</v>
      </c>
      <c r="H299" s="108">
        <f>H297+H298</f>
        <v>1299876</v>
      </c>
      <c r="I299" s="108">
        <f>I297+I298</f>
        <v>1148001</v>
      </c>
      <c r="J299" s="108">
        <f>J297+J298</f>
        <v>1148001</v>
      </c>
      <c r="K299" s="108">
        <f>K297+K298</f>
        <v>0</v>
      </c>
      <c r="L299" s="1046"/>
    </row>
    <row r="300" spans="1:12" s="89" customFormat="1" hidden="1">
      <c r="A300" s="1047">
        <v>21</v>
      </c>
      <c r="B300" s="1050"/>
      <c r="C300" s="1050" t="s">
        <v>272</v>
      </c>
      <c r="D300" s="1044" t="s">
        <v>337</v>
      </c>
      <c r="E300" s="1047" t="s">
        <v>338</v>
      </c>
      <c r="F300" s="799" t="s">
        <v>13</v>
      </c>
      <c r="G300" s="108">
        <v>6883153</v>
      </c>
      <c r="H300" s="113">
        <f>12300+110700+1005427+3024677+2398251+274768</f>
        <v>6826123</v>
      </c>
      <c r="I300" s="108">
        <f>J300+K300</f>
        <v>28515</v>
      </c>
      <c r="J300" s="108">
        <v>28515</v>
      </c>
      <c r="K300" s="108">
        <v>0</v>
      </c>
      <c r="L300" s="1044" t="s">
        <v>336</v>
      </c>
    </row>
    <row r="301" spans="1:12" s="89" customFormat="1" hidden="1">
      <c r="A301" s="1048"/>
      <c r="B301" s="1051"/>
      <c r="C301" s="1051"/>
      <c r="D301" s="1045"/>
      <c r="E301" s="1048"/>
      <c r="F301" s="799" t="s">
        <v>14</v>
      </c>
      <c r="G301" s="108"/>
      <c r="H301" s="113"/>
      <c r="I301" s="108">
        <f>J301+K301</f>
        <v>0</v>
      </c>
      <c r="J301" s="108"/>
      <c r="K301" s="108"/>
      <c r="L301" s="1045"/>
    </row>
    <row r="302" spans="1:12" s="89" customFormat="1" hidden="1">
      <c r="A302" s="1049"/>
      <c r="B302" s="1052"/>
      <c r="C302" s="1052"/>
      <c r="D302" s="1046"/>
      <c r="E302" s="1049"/>
      <c r="F302" s="799" t="s">
        <v>15</v>
      </c>
      <c r="G302" s="108">
        <f>G300+G301</f>
        <v>6883153</v>
      </c>
      <c r="H302" s="108">
        <f>H300+H301</f>
        <v>6826123</v>
      </c>
      <c r="I302" s="108">
        <f>I300+I301</f>
        <v>28515</v>
      </c>
      <c r="J302" s="108">
        <f>J300+J301</f>
        <v>28515</v>
      </c>
      <c r="K302" s="108">
        <f>K300+K301</f>
        <v>0</v>
      </c>
      <c r="L302" s="1046"/>
    </row>
    <row r="303" spans="1:12" s="89" customFormat="1" ht="25.15" customHeight="1">
      <c r="A303" s="1047">
        <v>14</v>
      </c>
      <c r="B303" s="1050"/>
      <c r="C303" s="1050" t="s">
        <v>272</v>
      </c>
      <c r="D303" s="1044" t="s">
        <v>339</v>
      </c>
      <c r="E303" s="1047" t="s">
        <v>311</v>
      </c>
      <c r="F303" s="799" t="s">
        <v>13</v>
      </c>
      <c r="G303" s="108">
        <v>7832943</v>
      </c>
      <c r="H303" s="113">
        <f>548706+6814127</f>
        <v>7362833</v>
      </c>
      <c r="I303" s="108">
        <f>J303+K303</f>
        <v>470110</v>
      </c>
      <c r="J303" s="108">
        <v>470110</v>
      </c>
      <c r="K303" s="108">
        <v>0</v>
      </c>
      <c r="L303" s="1044" t="s">
        <v>336</v>
      </c>
    </row>
    <row r="304" spans="1:12" s="89" customFormat="1" ht="25.15" customHeight="1">
      <c r="A304" s="1048"/>
      <c r="B304" s="1051"/>
      <c r="C304" s="1051"/>
      <c r="D304" s="1045"/>
      <c r="E304" s="1048"/>
      <c r="F304" s="799" t="s">
        <v>14</v>
      </c>
      <c r="G304" s="108">
        <v>1478759</v>
      </c>
      <c r="H304" s="113"/>
      <c r="I304" s="108">
        <f>J304+K304</f>
        <v>1478759</v>
      </c>
      <c r="J304" s="108">
        <v>1478759</v>
      </c>
      <c r="K304" s="108"/>
      <c r="L304" s="1045"/>
    </row>
    <row r="305" spans="1:12" s="89" customFormat="1" ht="25.15" customHeight="1">
      <c r="A305" s="1049"/>
      <c r="B305" s="1052"/>
      <c r="C305" s="1052"/>
      <c r="D305" s="1046"/>
      <c r="E305" s="1049"/>
      <c r="F305" s="806" t="s">
        <v>15</v>
      </c>
      <c r="G305" s="108">
        <f>G303+G304</f>
        <v>9311702</v>
      </c>
      <c r="H305" s="108">
        <f>H303+H304</f>
        <v>7362833</v>
      </c>
      <c r="I305" s="108">
        <f>I303+I304</f>
        <v>1948869</v>
      </c>
      <c r="J305" s="108">
        <f>J303+J304</f>
        <v>1948869</v>
      </c>
      <c r="K305" s="108">
        <f>K303+K304</f>
        <v>0</v>
      </c>
      <c r="L305" s="1046"/>
    </row>
    <row r="306" spans="1:12" s="89" customFormat="1" ht="13.15" customHeight="1">
      <c r="A306" s="1047">
        <v>15</v>
      </c>
      <c r="B306" s="1050"/>
      <c r="C306" s="1050" t="s">
        <v>272</v>
      </c>
      <c r="D306" s="1084" t="s">
        <v>375</v>
      </c>
      <c r="E306" s="1047" t="s">
        <v>374</v>
      </c>
      <c r="F306" s="799" t="s">
        <v>13</v>
      </c>
      <c r="G306" s="108">
        <v>0</v>
      </c>
      <c r="H306" s="113">
        <v>0</v>
      </c>
      <c r="I306" s="108">
        <f>J306+K306</f>
        <v>0</v>
      </c>
      <c r="J306" s="108">
        <v>0</v>
      </c>
      <c r="K306" s="108">
        <v>0</v>
      </c>
      <c r="L306" s="1044" t="s">
        <v>274</v>
      </c>
    </row>
    <row r="307" spans="1:12" s="89" customFormat="1">
      <c r="A307" s="1048"/>
      <c r="B307" s="1051"/>
      <c r="C307" s="1051"/>
      <c r="D307" s="1085"/>
      <c r="E307" s="1048"/>
      <c r="F307" s="799" t="s">
        <v>14</v>
      </c>
      <c r="G307" s="108">
        <v>44679407</v>
      </c>
      <c r="H307" s="113">
        <v>0</v>
      </c>
      <c r="I307" s="108">
        <f>J307+K307</f>
        <v>21486</v>
      </c>
      <c r="J307" s="108">
        <v>21486</v>
      </c>
      <c r="K307" s="108"/>
      <c r="L307" s="1045"/>
    </row>
    <row r="308" spans="1:12" s="89" customFormat="1">
      <c r="A308" s="1049"/>
      <c r="B308" s="1052"/>
      <c r="C308" s="1052"/>
      <c r="D308" s="1086"/>
      <c r="E308" s="1049"/>
      <c r="F308" s="806" t="s">
        <v>15</v>
      </c>
      <c r="G308" s="108">
        <f>G306+G307</f>
        <v>44679407</v>
      </c>
      <c r="H308" s="108">
        <f>H306+H307</f>
        <v>0</v>
      </c>
      <c r="I308" s="108">
        <f>I306+I307</f>
        <v>21486</v>
      </c>
      <c r="J308" s="108">
        <f>J306+J307</f>
        <v>21486</v>
      </c>
      <c r="K308" s="108">
        <f>K306+K307</f>
        <v>0</v>
      </c>
      <c r="L308" s="1046"/>
    </row>
    <row r="309" spans="1:12" s="89" customFormat="1" ht="13.15" customHeight="1">
      <c r="A309" s="1047">
        <v>16</v>
      </c>
      <c r="B309" s="1050"/>
      <c r="C309" s="1050" t="s">
        <v>272</v>
      </c>
      <c r="D309" s="1084" t="s">
        <v>428</v>
      </c>
      <c r="E309" s="1047" t="s">
        <v>315</v>
      </c>
      <c r="F309" s="799" t="s">
        <v>13</v>
      </c>
      <c r="G309" s="108">
        <v>0</v>
      </c>
      <c r="H309" s="113">
        <v>0</v>
      </c>
      <c r="I309" s="108">
        <f>J309+K309</f>
        <v>0</v>
      </c>
      <c r="J309" s="108">
        <v>0</v>
      </c>
      <c r="K309" s="108">
        <v>0</v>
      </c>
      <c r="L309" s="1044" t="s">
        <v>336</v>
      </c>
    </row>
    <row r="310" spans="1:12" s="89" customFormat="1">
      <c r="A310" s="1048"/>
      <c r="B310" s="1051"/>
      <c r="C310" s="1051"/>
      <c r="D310" s="1085"/>
      <c r="E310" s="1048"/>
      <c r="F310" s="799" t="s">
        <v>14</v>
      </c>
      <c r="G310" s="108">
        <v>882765</v>
      </c>
      <c r="H310" s="113">
        <v>0</v>
      </c>
      <c r="I310" s="108">
        <f>J310+K310</f>
        <v>498765</v>
      </c>
      <c r="J310" s="108">
        <v>498765</v>
      </c>
      <c r="K310" s="108"/>
      <c r="L310" s="1045"/>
    </row>
    <row r="311" spans="1:12" s="89" customFormat="1">
      <c r="A311" s="1049"/>
      <c r="B311" s="1052"/>
      <c r="C311" s="1052"/>
      <c r="D311" s="1086"/>
      <c r="E311" s="1049"/>
      <c r="F311" s="799" t="s">
        <v>15</v>
      </c>
      <c r="G311" s="108">
        <f>G309+G310</f>
        <v>882765</v>
      </c>
      <c r="H311" s="108">
        <f>H309+H310</f>
        <v>0</v>
      </c>
      <c r="I311" s="108">
        <f>I309+I310</f>
        <v>498765</v>
      </c>
      <c r="J311" s="108">
        <f>J309+J310</f>
        <v>498765</v>
      </c>
      <c r="K311" s="108">
        <f>K309+K310</f>
        <v>0</v>
      </c>
      <c r="L311" s="1046"/>
    </row>
    <row r="312" spans="1:12" s="89" customFormat="1" ht="13.15" customHeight="1">
      <c r="A312" s="1047">
        <v>17</v>
      </c>
      <c r="B312" s="1050"/>
      <c r="C312" s="1050" t="s">
        <v>272</v>
      </c>
      <c r="D312" s="1084" t="s">
        <v>380</v>
      </c>
      <c r="E312" s="1047" t="s">
        <v>334</v>
      </c>
      <c r="F312" s="799" t="s">
        <v>13</v>
      </c>
      <c r="G312" s="108">
        <v>0</v>
      </c>
      <c r="H312" s="113">
        <v>0</v>
      </c>
      <c r="I312" s="108">
        <f>J312+K312</f>
        <v>0</v>
      </c>
      <c r="J312" s="108">
        <v>0</v>
      </c>
      <c r="K312" s="108">
        <v>0</v>
      </c>
      <c r="L312" s="1044" t="s">
        <v>336</v>
      </c>
    </row>
    <row r="313" spans="1:12" s="89" customFormat="1">
      <c r="A313" s="1048"/>
      <c r="B313" s="1051"/>
      <c r="C313" s="1051"/>
      <c r="D313" s="1085"/>
      <c r="E313" s="1048"/>
      <c r="F313" s="799" t="s">
        <v>14</v>
      </c>
      <c r="G313" s="108">
        <v>4271718</v>
      </c>
      <c r="H313" s="113">
        <v>1155000</v>
      </c>
      <c r="I313" s="108">
        <f>J313+K313</f>
        <v>1294375</v>
      </c>
      <c r="J313" s="108">
        <v>1294375</v>
      </c>
      <c r="K313" s="108"/>
      <c r="L313" s="1045"/>
    </row>
    <row r="314" spans="1:12" s="89" customFormat="1">
      <c r="A314" s="1049"/>
      <c r="B314" s="1052"/>
      <c r="C314" s="1052"/>
      <c r="D314" s="1086"/>
      <c r="E314" s="1049"/>
      <c r="F314" s="799" t="s">
        <v>15</v>
      </c>
      <c r="G314" s="108">
        <f>G312+G313</f>
        <v>4271718</v>
      </c>
      <c r="H314" s="108">
        <f>H312+H313</f>
        <v>1155000</v>
      </c>
      <c r="I314" s="108">
        <f>I312+I313</f>
        <v>1294375</v>
      </c>
      <c r="J314" s="108">
        <f>J312+J313</f>
        <v>1294375</v>
      </c>
      <c r="K314" s="108">
        <f>K312+K313</f>
        <v>0</v>
      </c>
      <c r="L314" s="1046"/>
    </row>
    <row r="315" spans="1:12" s="89" customFormat="1" ht="13.15" customHeight="1">
      <c r="A315" s="1047">
        <v>18</v>
      </c>
      <c r="B315" s="1050"/>
      <c r="C315" s="1050" t="s">
        <v>372</v>
      </c>
      <c r="D315" s="1084" t="s">
        <v>381</v>
      </c>
      <c r="E315" s="1047" t="s">
        <v>373</v>
      </c>
      <c r="F315" s="799" t="s">
        <v>13</v>
      </c>
      <c r="G315" s="108">
        <v>0</v>
      </c>
      <c r="H315" s="113">
        <v>0</v>
      </c>
      <c r="I315" s="108">
        <f>J315+K315</f>
        <v>0</v>
      </c>
      <c r="J315" s="108">
        <v>0</v>
      </c>
      <c r="K315" s="108">
        <v>0</v>
      </c>
      <c r="L315" s="1044" t="s">
        <v>369</v>
      </c>
    </row>
    <row r="316" spans="1:12" s="89" customFormat="1">
      <c r="A316" s="1048"/>
      <c r="B316" s="1051"/>
      <c r="C316" s="1051"/>
      <c r="D316" s="1085"/>
      <c r="E316" s="1048"/>
      <c r="F316" s="799" t="s">
        <v>14</v>
      </c>
      <c r="G316" s="108">
        <v>13651901</v>
      </c>
      <c r="H316" s="113">
        <v>1377844</v>
      </c>
      <c r="I316" s="108">
        <f>J316+K316</f>
        <v>1920475</v>
      </c>
      <c r="J316" s="108">
        <v>1920475</v>
      </c>
      <c r="K316" s="108"/>
      <c r="L316" s="1045"/>
    </row>
    <row r="317" spans="1:12" s="89" customFormat="1">
      <c r="A317" s="1049"/>
      <c r="B317" s="1052"/>
      <c r="C317" s="1052"/>
      <c r="D317" s="1086"/>
      <c r="E317" s="1049"/>
      <c r="F317" s="799" t="s">
        <v>15</v>
      </c>
      <c r="G317" s="108">
        <f>G315+G316</f>
        <v>13651901</v>
      </c>
      <c r="H317" s="108">
        <f>H315+H316</f>
        <v>1377844</v>
      </c>
      <c r="I317" s="108">
        <f>I315+I316</f>
        <v>1920475</v>
      </c>
      <c r="J317" s="108">
        <f>J315+J316</f>
        <v>1920475</v>
      </c>
      <c r="K317" s="108">
        <f>K315+K316</f>
        <v>0</v>
      </c>
      <c r="L317" s="1046"/>
    </row>
    <row r="318" spans="1:12" s="89" customFormat="1" hidden="1">
      <c r="A318" s="1047">
        <v>23</v>
      </c>
      <c r="B318" s="1050"/>
      <c r="C318" s="1050" t="s">
        <v>277</v>
      </c>
      <c r="D318" s="1084" t="s">
        <v>340</v>
      </c>
      <c r="E318" s="1047" t="s">
        <v>315</v>
      </c>
      <c r="F318" s="799" t="s">
        <v>13</v>
      </c>
      <c r="G318" s="108">
        <v>889163</v>
      </c>
      <c r="H318" s="113">
        <v>0</v>
      </c>
      <c r="I318" s="108">
        <f>J318+K318</f>
        <v>165225</v>
      </c>
      <c r="J318" s="108">
        <v>165225</v>
      </c>
      <c r="K318" s="108">
        <v>0</v>
      </c>
      <c r="L318" s="1044" t="s">
        <v>341</v>
      </c>
    </row>
    <row r="319" spans="1:12" s="89" customFormat="1" hidden="1">
      <c r="A319" s="1048"/>
      <c r="B319" s="1051"/>
      <c r="C319" s="1051"/>
      <c r="D319" s="1085"/>
      <c r="E319" s="1048"/>
      <c r="F319" s="799" t="s">
        <v>14</v>
      </c>
      <c r="G319" s="108"/>
      <c r="H319" s="113"/>
      <c r="I319" s="108">
        <f>J319+K319</f>
        <v>0</v>
      </c>
      <c r="J319" s="108"/>
      <c r="K319" s="108"/>
      <c r="L319" s="1045"/>
    </row>
    <row r="320" spans="1:12" s="89" customFormat="1" hidden="1">
      <c r="A320" s="1049"/>
      <c r="B320" s="1052"/>
      <c r="C320" s="1052"/>
      <c r="D320" s="1086"/>
      <c r="E320" s="1049"/>
      <c r="F320" s="799" t="s">
        <v>15</v>
      </c>
      <c r="G320" s="108">
        <f>G318+G319</f>
        <v>889163</v>
      </c>
      <c r="H320" s="108">
        <f>H318+H319</f>
        <v>0</v>
      </c>
      <c r="I320" s="108">
        <f>I318+I319</f>
        <v>165225</v>
      </c>
      <c r="J320" s="108">
        <f>J318+J319</f>
        <v>165225</v>
      </c>
      <c r="K320" s="108">
        <f>K318+K319</f>
        <v>0</v>
      </c>
      <c r="L320" s="1046"/>
    </row>
    <row r="321" spans="1:12" s="89" customFormat="1" hidden="1">
      <c r="A321" s="1047">
        <v>24</v>
      </c>
      <c r="B321" s="1050"/>
      <c r="C321" s="1050" t="s">
        <v>288</v>
      </c>
      <c r="D321" s="1084" t="s">
        <v>342</v>
      </c>
      <c r="E321" s="1047" t="s">
        <v>307</v>
      </c>
      <c r="F321" s="799" t="s">
        <v>13</v>
      </c>
      <c r="G321" s="108">
        <v>350000</v>
      </c>
      <c r="H321" s="113">
        <v>22504</v>
      </c>
      <c r="I321" s="108">
        <f>J321+K321</f>
        <v>327496</v>
      </c>
      <c r="J321" s="108">
        <v>327496</v>
      </c>
      <c r="K321" s="108">
        <v>0</v>
      </c>
      <c r="L321" s="1044" t="s">
        <v>290</v>
      </c>
    </row>
    <row r="322" spans="1:12" s="89" customFormat="1" ht="13.15" hidden="1" customHeight="1">
      <c r="A322" s="1048"/>
      <c r="B322" s="1051"/>
      <c r="C322" s="1051"/>
      <c r="D322" s="1085"/>
      <c r="E322" s="1048"/>
      <c r="F322" s="799" t="s">
        <v>14</v>
      </c>
      <c r="G322" s="108"/>
      <c r="H322" s="113"/>
      <c r="I322" s="108">
        <f>J322+K322</f>
        <v>0</v>
      </c>
      <c r="J322" s="108"/>
      <c r="K322" s="108"/>
      <c r="L322" s="1045"/>
    </row>
    <row r="323" spans="1:12" s="89" customFormat="1" hidden="1">
      <c r="A323" s="1048"/>
      <c r="B323" s="1051"/>
      <c r="C323" s="1051"/>
      <c r="D323" s="1085"/>
      <c r="E323" s="1048"/>
      <c r="F323" s="799" t="s">
        <v>15</v>
      </c>
      <c r="G323" s="108">
        <f>G321+G322</f>
        <v>350000</v>
      </c>
      <c r="H323" s="108">
        <f>H321+H322</f>
        <v>22504</v>
      </c>
      <c r="I323" s="108">
        <f>I321+I322</f>
        <v>327496</v>
      </c>
      <c r="J323" s="108">
        <f>J321+J322</f>
        <v>327496</v>
      </c>
      <c r="K323" s="108">
        <f>K321+K322</f>
        <v>0</v>
      </c>
      <c r="L323" s="1045"/>
    </row>
    <row r="324" spans="1:12" s="89" customFormat="1">
      <c r="A324" s="1047">
        <v>19</v>
      </c>
      <c r="B324" s="1050"/>
      <c r="C324" s="1050" t="s">
        <v>288</v>
      </c>
      <c r="D324" s="1084" t="s">
        <v>376</v>
      </c>
      <c r="E324" s="1047" t="s">
        <v>304</v>
      </c>
      <c r="F324" s="799" t="s">
        <v>13</v>
      </c>
      <c r="G324" s="108">
        <v>0</v>
      </c>
      <c r="H324" s="113">
        <v>0</v>
      </c>
      <c r="I324" s="108">
        <f>J324+K324</f>
        <v>0</v>
      </c>
      <c r="J324" s="108">
        <v>0</v>
      </c>
      <c r="K324" s="108">
        <v>0</v>
      </c>
      <c r="L324" s="1044" t="s">
        <v>292</v>
      </c>
    </row>
    <row r="325" spans="1:12" s="89" customFormat="1" ht="13.15" customHeight="1">
      <c r="A325" s="1048"/>
      <c r="B325" s="1051"/>
      <c r="C325" s="1051"/>
      <c r="D325" s="1085"/>
      <c r="E325" s="1048"/>
      <c r="F325" s="799" t="s">
        <v>14</v>
      </c>
      <c r="G325" s="108">
        <v>430139</v>
      </c>
      <c r="H325" s="113">
        <f>35900+7890+87577</f>
        <v>131367</v>
      </c>
      <c r="I325" s="108">
        <f>J325+K325</f>
        <v>298772</v>
      </c>
      <c r="J325" s="108">
        <v>298772</v>
      </c>
      <c r="K325" s="108"/>
      <c r="L325" s="1045"/>
    </row>
    <row r="326" spans="1:12" s="89" customFormat="1">
      <c r="A326" s="1048"/>
      <c r="B326" s="1051"/>
      <c r="C326" s="1051"/>
      <c r="D326" s="1085"/>
      <c r="E326" s="1048"/>
      <c r="F326" s="799" t="s">
        <v>15</v>
      </c>
      <c r="G326" s="108">
        <f>G324+G325</f>
        <v>430139</v>
      </c>
      <c r="H326" s="108">
        <f>H324+H325</f>
        <v>131367</v>
      </c>
      <c r="I326" s="108">
        <f>I324+I325</f>
        <v>298772</v>
      </c>
      <c r="J326" s="108">
        <f>J324+J325</f>
        <v>298772</v>
      </c>
      <c r="K326" s="108">
        <f>K324+K325</f>
        <v>0</v>
      </c>
      <c r="L326" s="1045"/>
    </row>
    <row r="327" spans="1:12" s="89" customFormat="1" ht="5.0999999999999996" customHeight="1">
      <c r="A327" s="806"/>
      <c r="B327" s="109"/>
      <c r="C327" s="109"/>
      <c r="D327" s="110"/>
      <c r="E327" s="806"/>
      <c r="F327" s="806"/>
      <c r="G327" s="108"/>
      <c r="H327" s="113"/>
      <c r="I327" s="108"/>
      <c r="J327" s="108"/>
      <c r="K327" s="108"/>
      <c r="L327" s="111"/>
    </row>
    <row r="328" spans="1:12" s="107" customFormat="1" ht="15.75">
      <c r="A328" s="1068" t="s">
        <v>300</v>
      </c>
      <c r="B328" s="1069"/>
      <c r="C328" s="1069"/>
      <c r="D328" s="1070"/>
      <c r="E328" s="1077" t="s">
        <v>220</v>
      </c>
      <c r="F328" s="804" t="s">
        <v>13</v>
      </c>
      <c r="G328" s="112">
        <f t="shared" ref="G328:K329" si="21">G192+G261+G270+G276+G282+G288+G294</f>
        <v>360150975</v>
      </c>
      <c r="H328" s="112">
        <f t="shared" si="21"/>
        <v>80086285</v>
      </c>
      <c r="I328" s="112">
        <f t="shared" si="21"/>
        <v>35241377</v>
      </c>
      <c r="J328" s="112">
        <f t="shared" si="21"/>
        <v>32922108</v>
      </c>
      <c r="K328" s="112">
        <f t="shared" si="21"/>
        <v>2319269</v>
      </c>
      <c r="L328" s="1080" t="s">
        <v>220</v>
      </c>
    </row>
    <row r="329" spans="1:12" s="107" customFormat="1" ht="15.75">
      <c r="A329" s="1071"/>
      <c r="B329" s="1072"/>
      <c r="C329" s="1072"/>
      <c r="D329" s="1073"/>
      <c r="E329" s="1078"/>
      <c r="F329" s="804" t="s">
        <v>14</v>
      </c>
      <c r="G329" s="112">
        <f t="shared" si="21"/>
        <v>153864009</v>
      </c>
      <c r="H329" s="112">
        <f t="shared" si="21"/>
        <v>2068508</v>
      </c>
      <c r="I329" s="112">
        <f t="shared" si="21"/>
        <v>46811841</v>
      </c>
      <c r="J329" s="112">
        <f t="shared" si="21"/>
        <v>46746651</v>
      </c>
      <c r="K329" s="112">
        <f t="shared" si="21"/>
        <v>65190</v>
      </c>
      <c r="L329" s="1081"/>
    </row>
    <row r="330" spans="1:12" s="107" customFormat="1" ht="15.75">
      <c r="A330" s="1074"/>
      <c r="B330" s="1075"/>
      <c r="C330" s="1075"/>
      <c r="D330" s="1076"/>
      <c r="E330" s="1079"/>
      <c r="F330" s="804" t="s">
        <v>15</v>
      </c>
      <c r="G330" s="112">
        <f>G328+G329</f>
        <v>514014984</v>
      </c>
      <c r="H330" s="112">
        <f>H328+H329</f>
        <v>82154793</v>
      </c>
      <c r="I330" s="112">
        <f>I328+I329</f>
        <v>82053218</v>
      </c>
      <c r="J330" s="112">
        <f>J328+J329</f>
        <v>79668759</v>
      </c>
      <c r="K330" s="112">
        <f>K328+K329</f>
        <v>2384459</v>
      </c>
      <c r="L330" s="1082"/>
    </row>
    <row r="331" spans="1:12" s="89" customFormat="1" ht="5.0999999999999996" customHeight="1">
      <c r="A331" s="1083"/>
      <c r="B331" s="1083"/>
      <c r="C331" s="1083"/>
      <c r="D331" s="1083"/>
      <c r="E331" s="1083"/>
      <c r="F331" s="1083"/>
      <c r="G331" s="1083"/>
      <c r="H331" s="1083"/>
      <c r="I331" s="1083"/>
      <c r="J331" s="1083"/>
      <c r="K331" s="1083"/>
      <c r="L331" s="1083"/>
    </row>
    <row r="332" spans="1:12" s="115" customFormat="1" ht="15.75">
      <c r="A332" s="801" t="s">
        <v>343</v>
      </c>
      <c r="B332" s="1065" t="s">
        <v>344</v>
      </c>
      <c r="C332" s="1065"/>
      <c r="D332" s="1065"/>
      <c r="E332" s="1065"/>
      <c r="F332" s="1065"/>
      <c r="G332" s="1065"/>
      <c r="H332" s="1065"/>
      <c r="I332" s="1065"/>
      <c r="J332" s="1065"/>
      <c r="K332" s="1065"/>
      <c r="L332" s="1065"/>
    </row>
    <row r="333" spans="1:12" s="107" customFormat="1" ht="5.0999999999999996" customHeight="1">
      <c r="A333" s="1066"/>
      <c r="B333" s="1066"/>
      <c r="C333" s="1066"/>
      <c r="D333" s="1066"/>
      <c r="E333" s="1066"/>
      <c r="F333" s="1066"/>
      <c r="G333" s="1066"/>
      <c r="H333" s="1066"/>
      <c r="I333" s="1066"/>
      <c r="J333" s="1066"/>
      <c r="K333" s="1066"/>
      <c r="L333" s="1066"/>
    </row>
    <row r="334" spans="1:12" s="107" customFormat="1">
      <c r="A334" s="1061" t="s">
        <v>220</v>
      </c>
      <c r="B334" s="1061" t="s">
        <v>220</v>
      </c>
      <c r="C334" s="1061" t="s">
        <v>220</v>
      </c>
      <c r="D334" s="1061" t="s">
        <v>220</v>
      </c>
      <c r="E334" s="1061" t="s">
        <v>220</v>
      </c>
      <c r="F334" s="802" t="s">
        <v>13</v>
      </c>
      <c r="G334" s="1061" t="s">
        <v>220</v>
      </c>
      <c r="H334" s="1061" t="s">
        <v>220</v>
      </c>
      <c r="I334" s="114">
        <f>J334+K334</f>
        <v>392883159</v>
      </c>
      <c r="J334" s="114">
        <v>44718425</v>
      </c>
      <c r="K334" s="114">
        <v>348164734</v>
      </c>
      <c r="L334" s="1061" t="s">
        <v>220</v>
      </c>
    </row>
    <row r="335" spans="1:12" s="107" customFormat="1">
      <c r="A335" s="1062"/>
      <c r="B335" s="1062"/>
      <c r="C335" s="1062"/>
      <c r="D335" s="1062"/>
      <c r="E335" s="1062"/>
      <c r="F335" s="802" t="s">
        <v>14</v>
      </c>
      <c r="G335" s="1062"/>
      <c r="H335" s="1062"/>
      <c r="I335" s="114">
        <f>J335+K335</f>
        <v>72309925</v>
      </c>
      <c r="J335" s="114">
        <v>1578399</v>
      </c>
      <c r="K335" s="114">
        <v>70731526</v>
      </c>
      <c r="L335" s="1062"/>
    </row>
    <row r="336" spans="1:12" s="107" customFormat="1" ht="14.45" customHeight="1">
      <c r="A336" s="1063"/>
      <c r="B336" s="1063"/>
      <c r="C336" s="1063"/>
      <c r="D336" s="1063"/>
      <c r="E336" s="1063"/>
      <c r="F336" s="802" t="s">
        <v>15</v>
      </c>
      <c r="G336" s="1063"/>
      <c r="H336" s="1063"/>
      <c r="I336" s="114">
        <f>I334+I335</f>
        <v>465193084</v>
      </c>
      <c r="J336" s="114">
        <f>J334+J335</f>
        <v>46296824</v>
      </c>
      <c r="K336" s="114">
        <f>K334+K335</f>
        <v>418896260</v>
      </c>
      <c r="L336" s="1063"/>
    </row>
    <row r="337" spans="1:12" s="107" customFormat="1" ht="5.0999999999999996" customHeight="1">
      <c r="A337" s="1064" t="s">
        <v>345</v>
      </c>
      <c r="B337" s="1064"/>
      <c r="C337" s="1064"/>
      <c r="D337" s="1064"/>
      <c r="E337" s="1064"/>
      <c r="F337" s="1064"/>
      <c r="G337" s="1064"/>
      <c r="H337" s="1064"/>
      <c r="I337" s="1064"/>
      <c r="J337" s="1064"/>
      <c r="K337" s="1064"/>
      <c r="L337" s="1064"/>
    </row>
    <row r="338" spans="1:12" s="115" customFormat="1" ht="15.75" hidden="1">
      <c r="A338" s="801" t="s">
        <v>346</v>
      </c>
      <c r="B338" s="1065" t="s">
        <v>347</v>
      </c>
      <c r="C338" s="1065"/>
      <c r="D338" s="1065"/>
      <c r="E338" s="1065"/>
      <c r="F338" s="1065"/>
      <c r="G338" s="1065"/>
      <c r="H338" s="1065"/>
      <c r="I338" s="1065"/>
      <c r="J338" s="1065"/>
      <c r="K338" s="1065"/>
      <c r="L338" s="1065"/>
    </row>
    <row r="339" spans="1:12" s="107" customFormat="1" hidden="1">
      <c r="A339" s="1066"/>
      <c r="B339" s="1066"/>
      <c r="C339" s="1066"/>
      <c r="D339" s="1066"/>
      <c r="E339" s="1066"/>
      <c r="F339" s="1066"/>
      <c r="G339" s="1066"/>
      <c r="H339" s="1066"/>
      <c r="I339" s="1066"/>
      <c r="J339" s="1066"/>
      <c r="K339" s="1066"/>
      <c r="L339" s="1066"/>
    </row>
    <row r="340" spans="1:12" s="107" customFormat="1" hidden="1">
      <c r="A340" s="1067" t="s">
        <v>220</v>
      </c>
      <c r="B340" s="1067" t="s">
        <v>220</v>
      </c>
      <c r="C340" s="1067" t="s">
        <v>220</v>
      </c>
      <c r="D340" s="1067" t="s">
        <v>220</v>
      </c>
      <c r="E340" s="1067" t="s">
        <v>220</v>
      </c>
      <c r="F340" s="802" t="s">
        <v>13</v>
      </c>
      <c r="G340" s="1067" t="s">
        <v>220</v>
      </c>
      <c r="H340" s="1067" t="s">
        <v>220</v>
      </c>
      <c r="I340" s="114">
        <f>J340+K340</f>
        <v>19350381</v>
      </c>
      <c r="J340" s="114">
        <v>10390202</v>
      </c>
      <c r="K340" s="114">
        <v>8960179</v>
      </c>
      <c r="L340" s="1067" t="s">
        <v>220</v>
      </c>
    </row>
    <row r="341" spans="1:12" s="107" customFormat="1" hidden="1">
      <c r="A341" s="1067"/>
      <c r="B341" s="1067"/>
      <c r="C341" s="1067"/>
      <c r="D341" s="1067"/>
      <c r="E341" s="1067"/>
      <c r="F341" s="802" t="s">
        <v>14</v>
      </c>
      <c r="G341" s="1067"/>
      <c r="H341" s="1067"/>
      <c r="I341" s="114">
        <f>J341+K341</f>
        <v>0</v>
      </c>
      <c r="J341" s="114"/>
      <c r="K341" s="114"/>
      <c r="L341" s="1067"/>
    </row>
    <row r="342" spans="1:12" s="107" customFormat="1" hidden="1">
      <c r="A342" s="1067"/>
      <c r="B342" s="1067"/>
      <c r="C342" s="1067"/>
      <c r="D342" s="1067"/>
      <c r="E342" s="1067"/>
      <c r="F342" s="802" t="s">
        <v>15</v>
      </c>
      <c r="G342" s="1067"/>
      <c r="H342" s="1067"/>
      <c r="I342" s="114">
        <f>I340+I341</f>
        <v>19350381</v>
      </c>
      <c r="J342" s="114">
        <f>J340+J341</f>
        <v>10390202</v>
      </c>
      <c r="K342" s="114">
        <f>K340+K341</f>
        <v>8960179</v>
      </c>
      <c r="L342" s="1067"/>
    </row>
    <row r="343" spans="1:12" s="107" customFormat="1" hidden="1">
      <c r="A343" s="1056" t="s">
        <v>345</v>
      </c>
      <c r="B343" s="1057"/>
      <c r="C343" s="1057"/>
      <c r="D343" s="1057"/>
      <c r="E343" s="1057"/>
      <c r="F343" s="1057"/>
      <c r="G343" s="1057"/>
      <c r="H343" s="1057"/>
      <c r="I343" s="1057"/>
      <c r="J343" s="1057"/>
      <c r="K343" s="1057"/>
      <c r="L343" s="1058"/>
    </row>
    <row r="344" spans="1:12" s="100" customFormat="1" ht="16.899999999999999" customHeight="1">
      <c r="A344" s="1059" t="s">
        <v>12</v>
      </c>
      <c r="B344" s="1059"/>
      <c r="C344" s="1059"/>
      <c r="D344" s="1059"/>
      <c r="E344" s="1060" t="s">
        <v>220</v>
      </c>
      <c r="F344" s="802" t="s">
        <v>13</v>
      </c>
      <c r="G344" s="1060" t="s">
        <v>220</v>
      </c>
      <c r="H344" s="1060" t="s">
        <v>220</v>
      </c>
      <c r="I344" s="99">
        <f t="shared" ref="I344:K345" si="22">I14</f>
        <v>509710895</v>
      </c>
      <c r="J344" s="99">
        <f t="shared" si="22"/>
        <v>149504353</v>
      </c>
      <c r="K344" s="99">
        <f t="shared" si="22"/>
        <v>360206542</v>
      </c>
      <c r="L344" s="1059" t="s">
        <v>220</v>
      </c>
    </row>
    <row r="345" spans="1:12" s="100" customFormat="1" ht="16.5">
      <c r="A345" s="1059"/>
      <c r="B345" s="1059"/>
      <c r="C345" s="1059"/>
      <c r="D345" s="1059"/>
      <c r="E345" s="1060"/>
      <c r="F345" s="802" t="s">
        <v>14</v>
      </c>
      <c r="G345" s="1060"/>
      <c r="H345" s="1060"/>
      <c r="I345" s="99">
        <f t="shared" si="22"/>
        <v>122129984</v>
      </c>
      <c r="J345" s="99">
        <f t="shared" si="22"/>
        <v>51179268</v>
      </c>
      <c r="K345" s="99">
        <f t="shared" si="22"/>
        <v>70950716</v>
      </c>
      <c r="L345" s="1059"/>
    </row>
    <row r="346" spans="1:12" s="100" customFormat="1" ht="16.5">
      <c r="A346" s="1059"/>
      <c r="B346" s="1059"/>
      <c r="C346" s="1059"/>
      <c r="D346" s="1059"/>
      <c r="E346" s="1060"/>
      <c r="F346" s="803" t="s">
        <v>15</v>
      </c>
      <c r="G346" s="1060"/>
      <c r="H346" s="1060"/>
      <c r="I346" s="99">
        <f>I344+I345</f>
        <v>631840879</v>
      </c>
      <c r="J346" s="99">
        <f>J344+J345</f>
        <v>200683621</v>
      </c>
      <c r="K346" s="99">
        <f>K344+K345</f>
        <v>431157258</v>
      </c>
      <c r="L346" s="1059"/>
    </row>
    <row r="347" spans="1:12">
      <c r="A347" s="84" t="s">
        <v>11</v>
      </c>
      <c r="F347" s="85"/>
    </row>
    <row r="348" spans="1:12">
      <c r="A348" s="84" t="s">
        <v>41</v>
      </c>
      <c r="F348" s="85"/>
    </row>
    <row r="349" spans="1:12">
      <c r="A349" s="84" t="s">
        <v>42</v>
      </c>
      <c r="F349" s="85"/>
    </row>
    <row r="350" spans="1:12">
      <c r="A350" s="84" t="s">
        <v>43</v>
      </c>
      <c r="F350" s="85"/>
      <c r="I350" s="92"/>
    </row>
  </sheetData>
  <sheetProtection password="C25B" sheet="1" objects="1" scenarios="1"/>
  <mergeCells count="715">
    <mergeCell ref="A246:A248"/>
    <mergeCell ref="B246:B248"/>
    <mergeCell ref="C246:C248"/>
    <mergeCell ref="D246:D248"/>
    <mergeCell ref="E246:E248"/>
    <mergeCell ref="L246:L248"/>
    <mergeCell ref="L267:L269"/>
    <mergeCell ref="A249:A251"/>
    <mergeCell ref="B249:B251"/>
    <mergeCell ref="C249:C251"/>
    <mergeCell ref="D249:D251"/>
    <mergeCell ref="E249:E251"/>
    <mergeCell ref="L249:L251"/>
    <mergeCell ref="A264:A266"/>
    <mergeCell ref="B264:B266"/>
    <mergeCell ref="C264:C266"/>
    <mergeCell ref="A267:A269"/>
    <mergeCell ref="B267:B269"/>
    <mergeCell ref="C267:C269"/>
    <mergeCell ref="D267:D269"/>
    <mergeCell ref="E267:E269"/>
    <mergeCell ref="A258:A260"/>
    <mergeCell ref="B258:B260"/>
    <mergeCell ref="C258:C260"/>
    <mergeCell ref="L324:L326"/>
    <mergeCell ref="B306:B308"/>
    <mergeCell ref="C306:C308"/>
    <mergeCell ref="D306:D308"/>
    <mergeCell ref="E306:E308"/>
    <mergeCell ref="L306:L308"/>
    <mergeCell ref="L315:L317"/>
    <mergeCell ref="D321:D323"/>
    <mergeCell ref="E321:E323"/>
    <mergeCell ref="L321:L323"/>
    <mergeCell ref="B309:B311"/>
    <mergeCell ref="C309:C311"/>
    <mergeCell ref="D309:D311"/>
    <mergeCell ref="E309:E311"/>
    <mergeCell ref="L309:L311"/>
    <mergeCell ref="B312:B314"/>
    <mergeCell ref="C312:C314"/>
    <mergeCell ref="D312:D314"/>
    <mergeCell ref="E312:E314"/>
    <mergeCell ref="L312:L314"/>
    <mergeCell ref="B321:B323"/>
    <mergeCell ref="C321:C323"/>
    <mergeCell ref="A255:A257"/>
    <mergeCell ref="B255:B257"/>
    <mergeCell ref="C255:C257"/>
    <mergeCell ref="D255:D257"/>
    <mergeCell ref="E255:E257"/>
    <mergeCell ref="L255:L257"/>
    <mergeCell ref="D264:D266"/>
    <mergeCell ref="E264:E266"/>
    <mergeCell ref="L264:L266"/>
    <mergeCell ref="A261:A263"/>
    <mergeCell ref="B261:B263"/>
    <mergeCell ref="C261:C263"/>
    <mergeCell ref="D261:D263"/>
    <mergeCell ref="E261:E263"/>
    <mergeCell ref="L261:L263"/>
    <mergeCell ref="D258:D260"/>
    <mergeCell ref="E258:E260"/>
    <mergeCell ref="L258:L260"/>
    <mergeCell ref="A240:A242"/>
    <mergeCell ref="B240:B242"/>
    <mergeCell ref="C240:C242"/>
    <mergeCell ref="D240:D242"/>
    <mergeCell ref="E240:E242"/>
    <mergeCell ref="L240:L242"/>
    <mergeCell ref="A243:A245"/>
    <mergeCell ref="B243:B245"/>
    <mergeCell ref="C243:C245"/>
    <mergeCell ref="D243:D245"/>
    <mergeCell ref="E243:E245"/>
    <mergeCell ref="L243:L245"/>
    <mergeCell ref="L146:L148"/>
    <mergeCell ref="L149:L151"/>
    <mergeCell ref="A161:A163"/>
    <mergeCell ref="B161:B163"/>
    <mergeCell ref="C161:C163"/>
    <mergeCell ref="D161:D163"/>
    <mergeCell ref="E161:E163"/>
    <mergeCell ref="H161:H163"/>
    <mergeCell ref="A155:A157"/>
    <mergeCell ref="B155:B157"/>
    <mergeCell ref="C155:C157"/>
    <mergeCell ref="D155:D157"/>
    <mergeCell ref="E155:E157"/>
    <mergeCell ref="H155:H157"/>
    <mergeCell ref="A152:A154"/>
    <mergeCell ref="B152:B154"/>
    <mergeCell ref="C152:C154"/>
    <mergeCell ref="D152:D154"/>
    <mergeCell ref="E152:E154"/>
    <mergeCell ref="A149:A151"/>
    <mergeCell ref="B149:B151"/>
    <mergeCell ref="C149:C151"/>
    <mergeCell ref="D149:D151"/>
    <mergeCell ref="E149:E151"/>
    <mergeCell ref="B190:L190"/>
    <mergeCell ref="L182:L184"/>
    <mergeCell ref="A186:D188"/>
    <mergeCell ref="H53:H55"/>
    <mergeCell ref="L53:L55"/>
    <mergeCell ref="A56:A58"/>
    <mergeCell ref="B56:B58"/>
    <mergeCell ref="C56:C58"/>
    <mergeCell ref="D56:D58"/>
    <mergeCell ref="E56:E58"/>
    <mergeCell ref="H56:H58"/>
    <mergeCell ref="B53:B55"/>
    <mergeCell ref="C53:C55"/>
    <mergeCell ref="H122:H124"/>
    <mergeCell ref="L122:L124"/>
    <mergeCell ref="L152:L154"/>
    <mergeCell ref="H152:H154"/>
    <mergeCell ref="L140:L142"/>
    <mergeCell ref="L143:L145"/>
    <mergeCell ref="L131:L133"/>
    <mergeCell ref="H149:H151"/>
    <mergeCell ref="H137:H139"/>
    <mergeCell ref="H134:H136"/>
    <mergeCell ref="L155:L157"/>
    <mergeCell ref="A294:A296"/>
    <mergeCell ref="B294:B296"/>
    <mergeCell ref="C294:C296"/>
    <mergeCell ref="D294:D296"/>
    <mergeCell ref="E294:E296"/>
    <mergeCell ref="L294:L296"/>
    <mergeCell ref="E300:E302"/>
    <mergeCell ref="L300:L302"/>
    <mergeCell ref="A297:A299"/>
    <mergeCell ref="B297:B299"/>
    <mergeCell ref="C297:C299"/>
    <mergeCell ref="D297:D299"/>
    <mergeCell ref="E297:E299"/>
    <mergeCell ref="L297:L299"/>
    <mergeCell ref="A300:A302"/>
    <mergeCell ref="B300:B302"/>
    <mergeCell ref="C300:C302"/>
    <mergeCell ref="D300:D302"/>
    <mergeCell ref="A288:A290"/>
    <mergeCell ref="B288:B290"/>
    <mergeCell ref="C288:C290"/>
    <mergeCell ref="D288:D290"/>
    <mergeCell ref="E288:E290"/>
    <mergeCell ref="L288:L290"/>
    <mergeCell ref="A291:A293"/>
    <mergeCell ref="B291:B293"/>
    <mergeCell ref="C291:C293"/>
    <mergeCell ref="D291:D293"/>
    <mergeCell ref="E291:E293"/>
    <mergeCell ref="L291:L293"/>
    <mergeCell ref="A282:A284"/>
    <mergeCell ref="B282:B284"/>
    <mergeCell ref="C282:C284"/>
    <mergeCell ref="D282:D284"/>
    <mergeCell ref="E282:E284"/>
    <mergeCell ref="L282:L284"/>
    <mergeCell ref="A285:A287"/>
    <mergeCell ref="B285:B287"/>
    <mergeCell ref="C285:C287"/>
    <mergeCell ref="D285:D287"/>
    <mergeCell ref="E285:E287"/>
    <mergeCell ref="L285:L287"/>
    <mergeCell ref="A276:A278"/>
    <mergeCell ref="B276:B278"/>
    <mergeCell ref="C276:C278"/>
    <mergeCell ref="D276:D278"/>
    <mergeCell ref="E276:E278"/>
    <mergeCell ref="L276:L278"/>
    <mergeCell ref="A279:A281"/>
    <mergeCell ref="B279:B281"/>
    <mergeCell ref="C279:C281"/>
    <mergeCell ref="D279:D281"/>
    <mergeCell ref="E279:E281"/>
    <mergeCell ref="L279:L281"/>
    <mergeCell ref="A270:A272"/>
    <mergeCell ref="B270:B272"/>
    <mergeCell ref="C270:C272"/>
    <mergeCell ref="D270:D272"/>
    <mergeCell ref="E270:E272"/>
    <mergeCell ref="L270:L272"/>
    <mergeCell ref="A273:A275"/>
    <mergeCell ref="B273:B275"/>
    <mergeCell ref="C273:C275"/>
    <mergeCell ref="D273:D275"/>
    <mergeCell ref="E273:E275"/>
    <mergeCell ref="L273:L275"/>
    <mergeCell ref="A231:A233"/>
    <mergeCell ref="B231:B233"/>
    <mergeCell ref="C231:C233"/>
    <mergeCell ref="D231:D233"/>
    <mergeCell ref="E231:E233"/>
    <mergeCell ref="L231:L233"/>
    <mergeCell ref="A252:A254"/>
    <mergeCell ref="B252:B254"/>
    <mergeCell ref="C252:C254"/>
    <mergeCell ref="D252:D254"/>
    <mergeCell ref="E252:E254"/>
    <mergeCell ref="L252:L254"/>
    <mergeCell ref="D234:D236"/>
    <mergeCell ref="E234:E236"/>
    <mergeCell ref="L234:L236"/>
    <mergeCell ref="A237:A239"/>
    <mergeCell ref="B237:B239"/>
    <mergeCell ref="C237:C239"/>
    <mergeCell ref="D237:D239"/>
    <mergeCell ref="E237:E239"/>
    <mergeCell ref="L237:L239"/>
    <mergeCell ref="A234:A236"/>
    <mergeCell ref="B234:B236"/>
    <mergeCell ref="C234:C236"/>
    <mergeCell ref="A225:A227"/>
    <mergeCell ref="B225:B227"/>
    <mergeCell ref="C225:C227"/>
    <mergeCell ref="D225:D227"/>
    <mergeCell ref="E225:E227"/>
    <mergeCell ref="L225:L227"/>
    <mergeCell ref="A228:A230"/>
    <mergeCell ref="B228:B230"/>
    <mergeCell ref="C228:C230"/>
    <mergeCell ref="D228:D230"/>
    <mergeCell ref="E228:E230"/>
    <mergeCell ref="L228:L230"/>
    <mergeCell ref="A219:A221"/>
    <mergeCell ref="B219:B221"/>
    <mergeCell ref="C219:C221"/>
    <mergeCell ref="D219:D221"/>
    <mergeCell ref="E219:E221"/>
    <mergeCell ref="L219:L221"/>
    <mergeCell ref="A222:A224"/>
    <mergeCell ref="B222:B224"/>
    <mergeCell ref="C222:C224"/>
    <mergeCell ref="D222:D224"/>
    <mergeCell ref="E222:E224"/>
    <mergeCell ref="L222:L224"/>
    <mergeCell ref="A213:A215"/>
    <mergeCell ref="B213:B215"/>
    <mergeCell ref="C213:C215"/>
    <mergeCell ref="D213:D215"/>
    <mergeCell ref="E213:E215"/>
    <mergeCell ref="L213:L215"/>
    <mergeCell ref="A216:A218"/>
    <mergeCell ref="B216:B218"/>
    <mergeCell ref="C216:C218"/>
    <mergeCell ref="D216:D218"/>
    <mergeCell ref="E216:E218"/>
    <mergeCell ref="L216:L218"/>
    <mergeCell ref="A207:A209"/>
    <mergeCell ref="B207:B209"/>
    <mergeCell ref="C207:C209"/>
    <mergeCell ref="D207:D209"/>
    <mergeCell ref="E207:E209"/>
    <mergeCell ref="L207:L209"/>
    <mergeCell ref="A210:A212"/>
    <mergeCell ref="B210:B212"/>
    <mergeCell ref="C210:C212"/>
    <mergeCell ref="D210:D212"/>
    <mergeCell ref="E210:E212"/>
    <mergeCell ref="L210:L212"/>
    <mergeCell ref="A201:A203"/>
    <mergeCell ref="B201:B203"/>
    <mergeCell ref="C201:C203"/>
    <mergeCell ref="D201:D203"/>
    <mergeCell ref="E201:E203"/>
    <mergeCell ref="L201:L203"/>
    <mergeCell ref="A204:A206"/>
    <mergeCell ref="B204:B206"/>
    <mergeCell ref="C204:C206"/>
    <mergeCell ref="D204:D206"/>
    <mergeCell ref="E204:E206"/>
    <mergeCell ref="L204:L206"/>
    <mergeCell ref="A192:A194"/>
    <mergeCell ref="B192:B194"/>
    <mergeCell ref="C192:C194"/>
    <mergeCell ref="D192:D194"/>
    <mergeCell ref="E192:E194"/>
    <mergeCell ref="L192:L194"/>
    <mergeCell ref="A198:A200"/>
    <mergeCell ref="B198:B200"/>
    <mergeCell ref="C198:C200"/>
    <mergeCell ref="D198:D200"/>
    <mergeCell ref="E198:E200"/>
    <mergeCell ref="L198:L200"/>
    <mergeCell ref="A195:A197"/>
    <mergeCell ref="B195:B197"/>
    <mergeCell ref="C195:C197"/>
    <mergeCell ref="D195:D197"/>
    <mergeCell ref="E195:E197"/>
    <mergeCell ref="L195:L197"/>
    <mergeCell ref="E186:E188"/>
    <mergeCell ref="H186:H188"/>
    <mergeCell ref="L186:L188"/>
    <mergeCell ref="A189:L189"/>
    <mergeCell ref="A182:A184"/>
    <mergeCell ref="B182:B184"/>
    <mergeCell ref="C182:C184"/>
    <mergeCell ref="D182:D184"/>
    <mergeCell ref="E182:E184"/>
    <mergeCell ref="H182:H184"/>
    <mergeCell ref="A179:A181"/>
    <mergeCell ref="B179:B181"/>
    <mergeCell ref="C179:C181"/>
    <mergeCell ref="D179:D181"/>
    <mergeCell ref="E179:E181"/>
    <mergeCell ref="H179:H181"/>
    <mergeCell ref="L179:L181"/>
    <mergeCell ref="A176:A178"/>
    <mergeCell ref="B176:B178"/>
    <mergeCell ref="H173:H175"/>
    <mergeCell ref="L173:L175"/>
    <mergeCell ref="A170:A172"/>
    <mergeCell ref="B170:B172"/>
    <mergeCell ref="C170:C172"/>
    <mergeCell ref="D170:D172"/>
    <mergeCell ref="E170:E172"/>
    <mergeCell ref="H170:H172"/>
    <mergeCell ref="C176:C178"/>
    <mergeCell ref="D176:D178"/>
    <mergeCell ref="E176:E178"/>
    <mergeCell ref="H176:H178"/>
    <mergeCell ref="L170:L172"/>
    <mergeCell ref="A173:A175"/>
    <mergeCell ref="B173:B175"/>
    <mergeCell ref="C173:C175"/>
    <mergeCell ref="D173:D175"/>
    <mergeCell ref="E173:E175"/>
    <mergeCell ref="L176:L178"/>
    <mergeCell ref="A167:A169"/>
    <mergeCell ref="B167:B169"/>
    <mergeCell ref="C167:C169"/>
    <mergeCell ref="D167:D169"/>
    <mergeCell ref="E167:E169"/>
    <mergeCell ref="H167:H169"/>
    <mergeCell ref="L167:L169"/>
    <mergeCell ref="A158:A160"/>
    <mergeCell ref="B158:B160"/>
    <mergeCell ref="C158:C160"/>
    <mergeCell ref="D158:D160"/>
    <mergeCell ref="E158:E160"/>
    <mergeCell ref="H158:H160"/>
    <mergeCell ref="L161:L163"/>
    <mergeCell ref="L158:L160"/>
    <mergeCell ref="D143:D145"/>
    <mergeCell ref="E143:E145"/>
    <mergeCell ref="H143:H145"/>
    <mergeCell ref="A146:A148"/>
    <mergeCell ref="B146:B148"/>
    <mergeCell ref="C146:C148"/>
    <mergeCell ref="D146:D148"/>
    <mergeCell ref="E146:E148"/>
    <mergeCell ref="H146:H148"/>
    <mergeCell ref="A143:A145"/>
    <mergeCell ref="B143:B145"/>
    <mergeCell ref="C143:C145"/>
    <mergeCell ref="A131:A133"/>
    <mergeCell ref="B131:B133"/>
    <mergeCell ref="C131:C133"/>
    <mergeCell ref="D131:D133"/>
    <mergeCell ref="E131:E133"/>
    <mergeCell ref="H131:H133"/>
    <mergeCell ref="C134:C136"/>
    <mergeCell ref="D134:D136"/>
    <mergeCell ref="E134:E136"/>
    <mergeCell ref="A134:A136"/>
    <mergeCell ref="B134:B136"/>
    <mergeCell ref="A119:A121"/>
    <mergeCell ref="B119:B121"/>
    <mergeCell ref="C119:C121"/>
    <mergeCell ref="D119:D121"/>
    <mergeCell ref="E119:E121"/>
    <mergeCell ref="H119:H121"/>
    <mergeCell ref="L119:L121"/>
    <mergeCell ref="A128:A130"/>
    <mergeCell ref="B128:B130"/>
    <mergeCell ref="C128:C130"/>
    <mergeCell ref="D128:D130"/>
    <mergeCell ref="E128:E130"/>
    <mergeCell ref="H128:H130"/>
    <mergeCell ref="L128:L130"/>
    <mergeCell ref="A122:A124"/>
    <mergeCell ref="B122:B124"/>
    <mergeCell ref="C122:C124"/>
    <mergeCell ref="D122:D124"/>
    <mergeCell ref="E122:E124"/>
    <mergeCell ref="L113:L115"/>
    <mergeCell ref="A110:A112"/>
    <mergeCell ref="B110:B112"/>
    <mergeCell ref="A116:A118"/>
    <mergeCell ref="B116:B118"/>
    <mergeCell ref="C116:C118"/>
    <mergeCell ref="D116:D118"/>
    <mergeCell ref="E116:E118"/>
    <mergeCell ref="L116:L118"/>
    <mergeCell ref="A113:A115"/>
    <mergeCell ref="B113:B115"/>
    <mergeCell ref="C113:C115"/>
    <mergeCell ref="D113:D115"/>
    <mergeCell ref="E113:E115"/>
    <mergeCell ref="H113:H115"/>
    <mergeCell ref="L110:L112"/>
    <mergeCell ref="C110:C112"/>
    <mergeCell ref="D110:D112"/>
    <mergeCell ref="E110:E112"/>
    <mergeCell ref="H110:H112"/>
    <mergeCell ref="A107:A109"/>
    <mergeCell ref="B107:B109"/>
    <mergeCell ref="C107:C109"/>
    <mergeCell ref="D107:D109"/>
    <mergeCell ref="E107:E109"/>
    <mergeCell ref="H107:H109"/>
    <mergeCell ref="L107:L109"/>
    <mergeCell ref="A104:A106"/>
    <mergeCell ref="B104:B106"/>
    <mergeCell ref="C104:C106"/>
    <mergeCell ref="D104:D106"/>
    <mergeCell ref="E104:E106"/>
    <mergeCell ref="H104:H106"/>
    <mergeCell ref="L104:L106"/>
    <mergeCell ref="E95:E97"/>
    <mergeCell ref="L98:L100"/>
    <mergeCell ref="B89:B91"/>
    <mergeCell ref="C89:C91"/>
    <mergeCell ref="D89:D91"/>
    <mergeCell ref="E89:E91"/>
    <mergeCell ref="H89:H91"/>
    <mergeCell ref="L89:L91"/>
    <mergeCell ref="A101:A103"/>
    <mergeCell ref="B101:B103"/>
    <mergeCell ref="C101:C103"/>
    <mergeCell ref="D101:D103"/>
    <mergeCell ref="E101:E103"/>
    <mergeCell ref="H101:H103"/>
    <mergeCell ref="L101:L103"/>
    <mergeCell ref="A98:A100"/>
    <mergeCell ref="B98:B100"/>
    <mergeCell ref="C98:C100"/>
    <mergeCell ref="D98:D100"/>
    <mergeCell ref="E98:E100"/>
    <mergeCell ref="H98:H100"/>
    <mergeCell ref="L86:L88"/>
    <mergeCell ref="E77:E79"/>
    <mergeCell ref="H77:H79"/>
    <mergeCell ref="L77:L79"/>
    <mergeCell ref="C86:C88"/>
    <mergeCell ref="D86:D88"/>
    <mergeCell ref="A86:A88"/>
    <mergeCell ref="B86:B88"/>
    <mergeCell ref="H95:H97"/>
    <mergeCell ref="L95:L97"/>
    <mergeCell ref="A92:A94"/>
    <mergeCell ref="B92:B94"/>
    <mergeCell ref="C92:C94"/>
    <mergeCell ref="D92:D94"/>
    <mergeCell ref="E92:E94"/>
    <mergeCell ref="H92:H94"/>
    <mergeCell ref="E86:E88"/>
    <mergeCell ref="H86:H88"/>
    <mergeCell ref="A89:A91"/>
    <mergeCell ref="L92:L94"/>
    <mergeCell ref="A95:A97"/>
    <mergeCell ref="B95:B97"/>
    <mergeCell ref="C95:C97"/>
    <mergeCell ref="D95:D97"/>
    <mergeCell ref="H83:H85"/>
    <mergeCell ref="L83:L85"/>
    <mergeCell ref="A80:A82"/>
    <mergeCell ref="B80:B82"/>
    <mergeCell ref="C80:C82"/>
    <mergeCell ref="D80:D82"/>
    <mergeCell ref="E80:E82"/>
    <mergeCell ref="H80:H82"/>
    <mergeCell ref="A77:A79"/>
    <mergeCell ref="B77:B79"/>
    <mergeCell ref="C77:C79"/>
    <mergeCell ref="D77:D79"/>
    <mergeCell ref="L80:L82"/>
    <mergeCell ref="A83:A85"/>
    <mergeCell ref="B83:B85"/>
    <mergeCell ref="C83:C85"/>
    <mergeCell ref="D83:D85"/>
    <mergeCell ref="E83:E85"/>
    <mergeCell ref="H71:H73"/>
    <mergeCell ref="L71:L73"/>
    <mergeCell ref="A68:A70"/>
    <mergeCell ref="B68:B70"/>
    <mergeCell ref="C68:C70"/>
    <mergeCell ref="D68:D70"/>
    <mergeCell ref="E68:E70"/>
    <mergeCell ref="H68:H70"/>
    <mergeCell ref="C74:C76"/>
    <mergeCell ref="D74:D76"/>
    <mergeCell ref="E74:E76"/>
    <mergeCell ref="H74:H76"/>
    <mergeCell ref="L68:L70"/>
    <mergeCell ref="A71:A73"/>
    <mergeCell ref="B71:B73"/>
    <mergeCell ref="C71:C73"/>
    <mergeCell ref="D71:D73"/>
    <mergeCell ref="E71:E73"/>
    <mergeCell ref="L74:L76"/>
    <mergeCell ref="A74:A76"/>
    <mergeCell ref="B74:B76"/>
    <mergeCell ref="D50:D52"/>
    <mergeCell ref="E50:E52"/>
    <mergeCell ref="H50:H52"/>
    <mergeCell ref="L56:L58"/>
    <mergeCell ref="A53:A55"/>
    <mergeCell ref="E65:E67"/>
    <mergeCell ref="H65:H67"/>
    <mergeCell ref="L65:L67"/>
    <mergeCell ref="A62:A64"/>
    <mergeCell ref="B62:B64"/>
    <mergeCell ref="C62:C64"/>
    <mergeCell ref="D62:D64"/>
    <mergeCell ref="E62:E64"/>
    <mergeCell ref="H62:H64"/>
    <mergeCell ref="L62:L64"/>
    <mergeCell ref="A65:A67"/>
    <mergeCell ref="B65:B67"/>
    <mergeCell ref="C65:C67"/>
    <mergeCell ref="D65:D67"/>
    <mergeCell ref="E47:E49"/>
    <mergeCell ref="H47:H49"/>
    <mergeCell ref="L47:L49"/>
    <mergeCell ref="A44:A46"/>
    <mergeCell ref="B44:B46"/>
    <mergeCell ref="E44:E46"/>
    <mergeCell ref="H44:H46"/>
    <mergeCell ref="L50:L52"/>
    <mergeCell ref="A59:A61"/>
    <mergeCell ref="B59:B61"/>
    <mergeCell ref="C59:C61"/>
    <mergeCell ref="D59:D61"/>
    <mergeCell ref="E59:E61"/>
    <mergeCell ref="A47:A49"/>
    <mergeCell ref="B47:B49"/>
    <mergeCell ref="C47:C49"/>
    <mergeCell ref="D47:D49"/>
    <mergeCell ref="D53:D55"/>
    <mergeCell ref="E53:E55"/>
    <mergeCell ref="H59:H61"/>
    <mergeCell ref="L59:L61"/>
    <mergeCell ref="A50:A52"/>
    <mergeCell ref="B50:B52"/>
    <mergeCell ref="C50:C52"/>
    <mergeCell ref="L38:L40"/>
    <mergeCell ref="A41:A43"/>
    <mergeCell ref="B41:B43"/>
    <mergeCell ref="C41:C43"/>
    <mergeCell ref="D41:D43"/>
    <mergeCell ref="E41:E43"/>
    <mergeCell ref="L44:L46"/>
    <mergeCell ref="H26:H28"/>
    <mergeCell ref="L26:L28"/>
    <mergeCell ref="A38:A40"/>
    <mergeCell ref="B38:B40"/>
    <mergeCell ref="C38:C40"/>
    <mergeCell ref="D38:D40"/>
    <mergeCell ref="A35:A37"/>
    <mergeCell ref="B35:B37"/>
    <mergeCell ref="C35:C37"/>
    <mergeCell ref="D35:D37"/>
    <mergeCell ref="E35:E37"/>
    <mergeCell ref="L23:L25"/>
    <mergeCell ref="A26:A28"/>
    <mergeCell ref="B26:B28"/>
    <mergeCell ref="C26:C28"/>
    <mergeCell ref="D26:D28"/>
    <mergeCell ref="E26:E28"/>
    <mergeCell ref="L32:L34"/>
    <mergeCell ref="A32:A34"/>
    <mergeCell ref="B32:B34"/>
    <mergeCell ref="A23:A25"/>
    <mergeCell ref="B23:B25"/>
    <mergeCell ref="C23:C25"/>
    <mergeCell ref="D23:D25"/>
    <mergeCell ref="E23:E25"/>
    <mergeCell ref="H23:H25"/>
    <mergeCell ref="D32:D34"/>
    <mergeCell ref="E32:E34"/>
    <mergeCell ref="H32:H34"/>
    <mergeCell ref="G14:G16"/>
    <mergeCell ref="H14:H16"/>
    <mergeCell ref="L14:L16"/>
    <mergeCell ref="B18:L18"/>
    <mergeCell ref="A20:A22"/>
    <mergeCell ref="B20:B22"/>
    <mergeCell ref="C20:C22"/>
    <mergeCell ref="D20:D22"/>
    <mergeCell ref="E20:E22"/>
    <mergeCell ref="H20:H22"/>
    <mergeCell ref="L20:L22"/>
    <mergeCell ref="A14:A16"/>
    <mergeCell ref="B14:B16"/>
    <mergeCell ref="C14:C16"/>
    <mergeCell ref="D14:D16"/>
    <mergeCell ref="E14:E16"/>
    <mergeCell ref="A5:L5"/>
    <mergeCell ref="G8:G11"/>
    <mergeCell ref="H8:H11"/>
    <mergeCell ref="I8:K8"/>
    <mergeCell ref="L8:L11"/>
    <mergeCell ref="I9:I11"/>
    <mergeCell ref="J9:K9"/>
    <mergeCell ref="J10:J11"/>
    <mergeCell ref="K10:K11"/>
    <mergeCell ref="A8:A11"/>
    <mergeCell ref="B8:B11"/>
    <mergeCell ref="C8:C11"/>
    <mergeCell ref="D8:D11"/>
    <mergeCell ref="E8:E11"/>
    <mergeCell ref="F8:F11"/>
    <mergeCell ref="A324:A326"/>
    <mergeCell ref="B324:B326"/>
    <mergeCell ref="C324:C326"/>
    <mergeCell ref="D324:D326"/>
    <mergeCell ref="E324:E326"/>
    <mergeCell ref="D315:D317"/>
    <mergeCell ref="E315:E317"/>
    <mergeCell ref="A303:A305"/>
    <mergeCell ref="B303:B305"/>
    <mergeCell ref="C303:C305"/>
    <mergeCell ref="D303:D305"/>
    <mergeCell ref="E303:E305"/>
    <mergeCell ref="A321:A323"/>
    <mergeCell ref="A309:A311"/>
    <mergeCell ref="A312:A314"/>
    <mergeCell ref="L303:L305"/>
    <mergeCell ref="A318:A320"/>
    <mergeCell ref="B318:B320"/>
    <mergeCell ref="C318:C320"/>
    <mergeCell ref="D318:D320"/>
    <mergeCell ref="E318:E320"/>
    <mergeCell ref="L318:L320"/>
    <mergeCell ref="A315:A317"/>
    <mergeCell ref="B315:B317"/>
    <mergeCell ref="C315:C317"/>
    <mergeCell ref="A306:A308"/>
    <mergeCell ref="B334:B336"/>
    <mergeCell ref="C334:C336"/>
    <mergeCell ref="D334:D336"/>
    <mergeCell ref="E334:E336"/>
    <mergeCell ref="G334:G336"/>
    <mergeCell ref="G340:G342"/>
    <mergeCell ref="H340:H342"/>
    <mergeCell ref="L340:L342"/>
    <mergeCell ref="A328:D330"/>
    <mergeCell ref="E328:E330"/>
    <mergeCell ref="L328:L330"/>
    <mergeCell ref="A331:L331"/>
    <mergeCell ref="B332:L332"/>
    <mergeCell ref="A333:L333"/>
    <mergeCell ref="A343:L343"/>
    <mergeCell ref="A344:D346"/>
    <mergeCell ref="E344:E346"/>
    <mergeCell ref="G344:G346"/>
    <mergeCell ref="H344:H346"/>
    <mergeCell ref="L344:L346"/>
    <mergeCell ref="A164:A166"/>
    <mergeCell ref="B164:B166"/>
    <mergeCell ref="C164:C166"/>
    <mergeCell ref="D164:D166"/>
    <mergeCell ref="E164:E166"/>
    <mergeCell ref="H164:H166"/>
    <mergeCell ref="L164:L166"/>
    <mergeCell ref="H334:H336"/>
    <mergeCell ref="L334:L336"/>
    <mergeCell ref="A337:L337"/>
    <mergeCell ref="B338:L338"/>
    <mergeCell ref="A339:L339"/>
    <mergeCell ref="A340:A342"/>
    <mergeCell ref="B340:B342"/>
    <mergeCell ref="C340:C342"/>
    <mergeCell ref="D340:D342"/>
    <mergeCell ref="E340:E342"/>
    <mergeCell ref="A334:A336"/>
    <mergeCell ref="L137:L139"/>
    <mergeCell ref="A137:A139"/>
    <mergeCell ref="B137:B139"/>
    <mergeCell ref="C137:C139"/>
    <mergeCell ref="D137:D139"/>
    <mergeCell ref="E137:E139"/>
    <mergeCell ref="A140:A142"/>
    <mergeCell ref="B140:B142"/>
    <mergeCell ref="C140:C142"/>
    <mergeCell ref="D140:D142"/>
    <mergeCell ref="E140:E142"/>
    <mergeCell ref="H140:H142"/>
    <mergeCell ref="L134:L136"/>
    <mergeCell ref="A29:A31"/>
    <mergeCell ref="B29:B31"/>
    <mergeCell ref="C29:C31"/>
    <mergeCell ref="D29:D31"/>
    <mergeCell ref="E29:E31"/>
    <mergeCell ref="H29:H31"/>
    <mergeCell ref="L29:L31"/>
    <mergeCell ref="L125:L127"/>
    <mergeCell ref="C32:C34"/>
    <mergeCell ref="A125:A127"/>
    <mergeCell ref="B125:B127"/>
    <mergeCell ref="C125:C127"/>
    <mergeCell ref="D125:D127"/>
    <mergeCell ref="E125:E127"/>
    <mergeCell ref="H125:H127"/>
    <mergeCell ref="H35:H37"/>
    <mergeCell ref="L35:L37"/>
    <mergeCell ref="H41:H43"/>
    <mergeCell ref="L41:L43"/>
    <mergeCell ref="E38:E40"/>
    <mergeCell ref="H38:H40"/>
    <mergeCell ref="C44:C46"/>
    <mergeCell ref="D44:D46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09"/>
  <sheetViews>
    <sheetView view="pageBreakPreview" zoomScaleNormal="75" zoomScaleSheetLayoutView="100" workbookViewId="0">
      <selection activeCell="E25" sqref="E25:F27"/>
    </sheetView>
  </sheetViews>
  <sheetFormatPr defaultColWidth="8" defaultRowHeight="15"/>
  <cols>
    <col min="1" max="1" width="2.25" style="289" customWidth="1"/>
    <col min="2" max="2" width="3.375" style="289" customWidth="1"/>
    <col min="3" max="3" width="3.5" style="289" customWidth="1"/>
    <col min="4" max="4" width="5.375" style="289" customWidth="1"/>
    <col min="5" max="5" width="9.625" style="287" customWidth="1"/>
    <col min="6" max="6" width="49.375" style="288" customWidth="1"/>
    <col min="7" max="7" width="2.125" style="287" customWidth="1"/>
    <col min="8" max="8" width="12.375" style="286" customWidth="1"/>
    <col min="9" max="9" width="12.625" style="285" customWidth="1"/>
    <col min="10" max="14" width="12.25" style="285" customWidth="1"/>
    <col min="15" max="256" width="8" style="284"/>
    <col min="257" max="257" width="2.25" style="284" customWidth="1"/>
    <col min="258" max="258" width="3.375" style="284" customWidth="1"/>
    <col min="259" max="259" width="3.5" style="284" customWidth="1"/>
    <col min="260" max="260" width="5.375" style="284" customWidth="1"/>
    <col min="261" max="261" width="9.625" style="284" customWidth="1"/>
    <col min="262" max="262" width="49.375" style="284" customWidth="1"/>
    <col min="263" max="263" width="2.125" style="284" customWidth="1"/>
    <col min="264" max="264" width="12.375" style="284" customWidth="1"/>
    <col min="265" max="265" width="12.625" style="284" customWidth="1"/>
    <col min="266" max="270" width="12.25" style="284" customWidth="1"/>
    <col min="271" max="512" width="8" style="284"/>
    <col min="513" max="513" width="2.25" style="284" customWidth="1"/>
    <col min="514" max="514" width="3.375" style="284" customWidth="1"/>
    <col min="515" max="515" width="3.5" style="284" customWidth="1"/>
    <col min="516" max="516" width="5.375" style="284" customWidth="1"/>
    <col min="517" max="517" width="9.625" style="284" customWidth="1"/>
    <col min="518" max="518" width="49.375" style="284" customWidth="1"/>
    <col min="519" max="519" width="2.125" style="284" customWidth="1"/>
    <col min="520" max="520" width="12.375" style="284" customWidth="1"/>
    <col min="521" max="521" width="12.625" style="284" customWidth="1"/>
    <col min="522" max="526" width="12.25" style="284" customWidth="1"/>
    <col min="527" max="768" width="8" style="284"/>
    <col min="769" max="769" width="2.25" style="284" customWidth="1"/>
    <col min="770" max="770" width="3.375" style="284" customWidth="1"/>
    <col min="771" max="771" width="3.5" style="284" customWidth="1"/>
    <col min="772" max="772" width="5.375" style="284" customWidth="1"/>
    <col min="773" max="773" width="9.625" style="284" customWidth="1"/>
    <col min="774" max="774" width="49.375" style="284" customWidth="1"/>
    <col min="775" max="775" width="2.125" style="284" customWidth="1"/>
    <col min="776" max="776" width="12.375" style="284" customWidth="1"/>
    <col min="777" max="777" width="12.625" style="284" customWidth="1"/>
    <col min="778" max="782" width="12.25" style="284" customWidth="1"/>
    <col min="783" max="1024" width="8" style="284"/>
    <col min="1025" max="1025" width="2.25" style="284" customWidth="1"/>
    <col min="1026" max="1026" width="3.375" style="284" customWidth="1"/>
    <col min="1027" max="1027" width="3.5" style="284" customWidth="1"/>
    <col min="1028" max="1028" width="5.375" style="284" customWidth="1"/>
    <col min="1029" max="1029" width="9.625" style="284" customWidth="1"/>
    <col min="1030" max="1030" width="49.375" style="284" customWidth="1"/>
    <col min="1031" max="1031" width="2.125" style="284" customWidth="1"/>
    <col min="1032" max="1032" width="12.375" style="284" customWidth="1"/>
    <col min="1033" max="1033" width="12.625" style="284" customWidth="1"/>
    <col min="1034" max="1038" width="12.25" style="284" customWidth="1"/>
    <col min="1039" max="1280" width="8" style="284"/>
    <col min="1281" max="1281" width="2.25" style="284" customWidth="1"/>
    <col min="1282" max="1282" width="3.375" style="284" customWidth="1"/>
    <col min="1283" max="1283" width="3.5" style="284" customWidth="1"/>
    <col min="1284" max="1284" width="5.375" style="284" customWidth="1"/>
    <col min="1285" max="1285" width="9.625" style="284" customWidth="1"/>
    <col min="1286" max="1286" width="49.375" style="284" customWidth="1"/>
    <col min="1287" max="1287" width="2.125" style="284" customWidth="1"/>
    <col min="1288" max="1288" width="12.375" style="284" customWidth="1"/>
    <col min="1289" max="1289" width="12.625" style="284" customWidth="1"/>
    <col min="1290" max="1294" width="12.25" style="284" customWidth="1"/>
    <col min="1295" max="1536" width="8" style="284"/>
    <col min="1537" max="1537" width="2.25" style="284" customWidth="1"/>
    <col min="1538" max="1538" width="3.375" style="284" customWidth="1"/>
    <col min="1539" max="1539" width="3.5" style="284" customWidth="1"/>
    <col min="1540" max="1540" width="5.375" style="284" customWidth="1"/>
    <col min="1541" max="1541" width="9.625" style="284" customWidth="1"/>
    <col min="1542" max="1542" width="49.375" style="284" customWidth="1"/>
    <col min="1543" max="1543" width="2.125" style="284" customWidth="1"/>
    <col min="1544" max="1544" width="12.375" style="284" customWidth="1"/>
    <col min="1545" max="1545" width="12.625" style="284" customWidth="1"/>
    <col min="1546" max="1550" width="12.25" style="284" customWidth="1"/>
    <col min="1551" max="1792" width="8" style="284"/>
    <col min="1793" max="1793" width="2.25" style="284" customWidth="1"/>
    <col min="1794" max="1794" width="3.375" style="284" customWidth="1"/>
    <col min="1795" max="1795" width="3.5" style="284" customWidth="1"/>
    <col min="1796" max="1796" width="5.375" style="284" customWidth="1"/>
    <col min="1797" max="1797" width="9.625" style="284" customWidth="1"/>
    <col min="1798" max="1798" width="49.375" style="284" customWidth="1"/>
    <col min="1799" max="1799" width="2.125" style="284" customWidth="1"/>
    <col min="1800" max="1800" width="12.375" style="284" customWidth="1"/>
    <col min="1801" max="1801" width="12.625" style="284" customWidth="1"/>
    <col min="1802" max="1806" width="12.25" style="284" customWidth="1"/>
    <col min="1807" max="2048" width="8" style="284"/>
    <col min="2049" max="2049" width="2.25" style="284" customWidth="1"/>
    <col min="2050" max="2050" width="3.375" style="284" customWidth="1"/>
    <col min="2051" max="2051" width="3.5" style="284" customWidth="1"/>
    <col min="2052" max="2052" width="5.375" style="284" customWidth="1"/>
    <col min="2053" max="2053" width="9.625" style="284" customWidth="1"/>
    <col min="2054" max="2054" width="49.375" style="284" customWidth="1"/>
    <col min="2055" max="2055" width="2.125" style="284" customWidth="1"/>
    <col min="2056" max="2056" width="12.375" style="284" customWidth="1"/>
    <col min="2057" max="2057" width="12.625" style="284" customWidth="1"/>
    <col min="2058" max="2062" width="12.25" style="284" customWidth="1"/>
    <col min="2063" max="2304" width="8" style="284"/>
    <col min="2305" max="2305" width="2.25" style="284" customWidth="1"/>
    <col min="2306" max="2306" width="3.375" style="284" customWidth="1"/>
    <col min="2307" max="2307" width="3.5" style="284" customWidth="1"/>
    <col min="2308" max="2308" width="5.375" style="284" customWidth="1"/>
    <col min="2309" max="2309" width="9.625" style="284" customWidth="1"/>
    <col min="2310" max="2310" width="49.375" style="284" customWidth="1"/>
    <col min="2311" max="2311" width="2.125" style="284" customWidth="1"/>
    <col min="2312" max="2312" width="12.375" style="284" customWidth="1"/>
    <col min="2313" max="2313" width="12.625" style="284" customWidth="1"/>
    <col min="2314" max="2318" width="12.25" style="284" customWidth="1"/>
    <col min="2319" max="2560" width="8" style="284"/>
    <col min="2561" max="2561" width="2.25" style="284" customWidth="1"/>
    <col min="2562" max="2562" width="3.375" style="284" customWidth="1"/>
    <col min="2563" max="2563" width="3.5" style="284" customWidth="1"/>
    <col min="2564" max="2564" width="5.375" style="284" customWidth="1"/>
    <col min="2565" max="2565" width="9.625" style="284" customWidth="1"/>
    <col min="2566" max="2566" width="49.375" style="284" customWidth="1"/>
    <col min="2567" max="2567" width="2.125" style="284" customWidth="1"/>
    <col min="2568" max="2568" width="12.375" style="284" customWidth="1"/>
    <col min="2569" max="2569" width="12.625" style="284" customWidth="1"/>
    <col min="2570" max="2574" width="12.25" style="284" customWidth="1"/>
    <col min="2575" max="2816" width="8" style="284"/>
    <col min="2817" max="2817" width="2.25" style="284" customWidth="1"/>
    <col min="2818" max="2818" width="3.375" style="284" customWidth="1"/>
    <col min="2819" max="2819" width="3.5" style="284" customWidth="1"/>
    <col min="2820" max="2820" width="5.375" style="284" customWidth="1"/>
    <col min="2821" max="2821" width="9.625" style="284" customWidth="1"/>
    <col min="2822" max="2822" width="49.375" style="284" customWidth="1"/>
    <col min="2823" max="2823" width="2.125" style="284" customWidth="1"/>
    <col min="2824" max="2824" width="12.375" style="284" customWidth="1"/>
    <col min="2825" max="2825" width="12.625" style="284" customWidth="1"/>
    <col min="2826" max="2830" width="12.25" style="284" customWidth="1"/>
    <col min="2831" max="3072" width="8" style="284"/>
    <col min="3073" max="3073" width="2.25" style="284" customWidth="1"/>
    <col min="3074" max="3074" width="3.375" style="284" customWidth="1"/>
    <col min="3075" max="3075" width="3.5" style="284" customWidth="1"/>
    <col min="3076" max="3076" width="5.375" style="284" customWidth="1"/>
    <col min="3077" max="3077" width="9.625" style="284" customWidth="1"/>
    <col min="3078" max="3078" width="49.375" style="284" customWidth="1"/>
    <col min="3079" max="3079" width="2.125" style="284" customWidth="1"/>
    <col min="3080" max="3080" width="12.375" style="284" customWidth="1"/>
    <col min="3081" max="3081" width="12.625" style="284" customWidth="1"/>
    <col min="3082" max="3086" width="12.25" style="284" customWidth="1"/>
    <col min="3087" max="3328" width="8" style="284"/>
    <col min="3329" max="3329" width="2.25" style="284" customWidth="1"/>
    <col min="3330" max="3330" width="3.375" style="284" customWidth="1"/>
    <col min="3331" max="3331" width="3.5" style="284" customWidth="1"/>
    <col min="3332" max="3332" width="5.375" style="284" customWidth="1"/>
    <col min="3333" max="3333" width="9.625" style="284" customWidth="1"/>
    <col min="3334" max="3334" width="49.375" style="284" customWidth="1"/>
    <col min="3335" max="3335" width="2.125" style="284" customWidth="1"/>
    <col min="3336" max="3336" width="12.375" style="284" customWidth="1"/>
    <col min="3337" max="3337" width="12.625" style="284" customWidth="1"/>
    <col min="3338" max="3342" width="12.25" style="284" customWidth="1"/>
    <col min="3343" max="3584" width="8" style="284"/>
    <col min="3585" max="3585" width="2.25" style="284" customWidth="1"/>
    <col min="3586" max="3586" width="3.375" style="284" customWidth="1"/>
    <col min="3587" max="3587" width="3.5" style="284" customWidth="1"/>
    <col min="3588" max="3588" width="5.375" style="284" customWidth="1"/>
    <col min="3589" max="3589" width="9.625" style="284" customWidth="1"/>
    <col min="3590" max="3590" width="49.375" style="284" customWidth="1"/>
    <col min="3591" max="3591" width="2.125" style="284" customWidth="1"/>
    <col min="3592" max="3592" width="12.375" style="284" customWidth="1"/>
    <col min="3593" max="3593" width="12.625" style="284" customWidth="1"/>
    <col min="3594" max="3598" width="12.25" style="284" customWidth="1"/>
    <col min="3599" max="3840" width="8" style="284"/>
    <col min="3841" max="3841" width="2.25" style="284" customWidth="1"/>
    <col min="3842" max="3842" width="3.375" style="284" customWidth="1"/>
    <col min="3843" max="3843" width="3.5" style="284" customWidth="1"/>
    <col min="3844" max="3844" width="5.375" style="284" customWidth="1"/>
    <col min="3845" max="3845" width="9.625" style="284" customWidth="1"/>
    <col min="3846" max="3846" width="49.375" style="284" customWidth="1"/>
    <col min="3847" max="3847" width="2.125" style="284" customWidth="1"/>
    <col min="3848" max="3848" width="12.375" style="284" customWidth="1"/>
    <col min="3849" max="3849" width="12.625" style="284" customWidth="1"/>
    <col min="3850" max="3854" width="12.25" style="284" customWidth="1"/>
    <col min="3855" max="4096" width="8" style="284"/>
    <col min="4097" max="4097" width="2.25" style="284" customWidth="1"/>
    <col min="4098" max="4098" width="3.375" style="284" customWidth="1"/>
    <col min="4099" max="4099" width="3.5" style="284" customWidth="1"/>
    <col min="4100" max="4100" width="5.375" style="284" customWidth="1"/>
    <col min="4101" max="4101" width="9.625" style="284" customWidth="1"/>
    <col min="4102" max="4102" width="49.375" style="284" customWidth="1"/>
    <col min="4103" max="4103" width="2.125" style="284" customWidth="1"/>
    <col min="4104" max="4104" width="12.375" style="284" customWidth="1"/>
    <col min="4105" max="4105" width="12.625" style="284" customWidth="1"/>
    <col min="4106" max="4110" width="12.25" style="284" customWidth="1"/>
    <col min="4111" max="4352" width="8" style="284"/>
    <col min="4353" max="4353" width="2.25" style="284" customWidth="1"/>
    <col min="4354" max="4354" width="3.375" style="284" customWidth="1"/>
    <col min="4355" max="4355" width="3.5" style="284" customWidth="1"/>
    <col min="4356" max="4356" width="5.375" style="284" customWidth="1"/>
    <col min="4357" max="4357" width="9.625" style="284" customWidth="1"/>
    <col min="4358" max="4358" width="49.375" style="284" customWidth="1"/>
    <col min="4359" max="4359" width="2.125" style="284" customWidth="1"/>
    <col min="4360" max="4360" width="12.375" style="284" customWidth="1"/>
    <col min="4361" max="4361" width="12.625" style="284" customWidth="1"/>
    <col min="4362" max="4366" width="12.25" style="284" customWidth="1"/>
    <col min="4367" max="4608" width="8" style="284"/>
    <col min="4609" max="4609" width="2.25" style="284" customWidth="1"/>
    <col min="4610" max="4610" width="3.375" style="284" customWidth="1"/>
    <col min="4611" max="4611" width="3.5" style="284" customWidth="1"/>
    <col min="4612" max="4612" width="5.375" style="284" customWidth="1"/>
    <col min="4613" max="4613" width="9.625" style="284" customWidth="1"/>
    <col min="4614" max="4614" width="49.375" style="284" customWidth="1"/>
    <col min="4615" max="4615" width="2.125" style="284" customWidth="1"/>
    <col min="4616" max="4616" width="12.375" style="284" customWidth="1"/>
    <col min="4617" max="4617" width="12.625" style="284" customWidth="1"/>
    <col min="4618" max="4622" width="12.25" style="284" customWidth="1"/>
    <col min="4623" max="4864" width="8" style="284"/>
    <col min="4865" max="4865" width="2.25" style="284" customWidth="1"/>
    <col min="4866" max="4866" width="3.375" style="284" customWidth="1"/>
    <col min="4867" max="4867" width="3.5" style="284" customWidth="1"/>
    <col min="4868" max="4868" width="5.375" style="284" customWidth="1"/>
    <col min="4869" max="4869" width="9.625" style="284" customWidth="1"/>
    <col min="4870" max="4870" width="49.375" style="284" customWidth="1"/>
    <col min="4871" max="4871" width="2.125" style="284" customWidth="1"/>
    <col min="4872" max="4872" width="12.375" style="284" customWidth="1"/>
    <col min="4873" max="4873" width="12.625" style="284" customWidth="1"/>
    <col min="4874" max="4878" width="12.25" style="284" customWidth="1"/>
    <col min="4879" max="5120" width="8" style="284"/>
    <col min="5121" max="5121" width="2.25" style="284" customWidth="1"/>
    <col min="5122" max="5122" width="3.375" style="284" customWidth="1"/>
    <col min="5123" max="5123" width="3.5" style="284" customWidth="1"/>
    <col min="5124" max="5124" width="5.375" style="284" customWidth="1"/>
    <col min="5125" max="5125" width="9.625" style="284" customWidth="1"/>
    <col min="5126" max="5126" width="49.375" style="284" customWidth="1"/>
    <col min="5127" max="5127" width="2.125" style="284" customWidth="1"/>
    <col min="5128" max="5128" width="12.375" style="284" customWidth="1"/>
    <col min="5129" max="5129" width="12.625" style="284" customWidth="1"/>
    <col min="5130" max="5134" width="12.25" style="284" customWidth="1"/>
    <col min="5135" max="5376" width="8" style="284"/>
    <col min="5377" max="5377" width="2.25" style="284" customWidth="1"/>
    <col min="5378" max="5378" width="3.375" style="284" customWidth="1"/>
    <col min="5379" max="5379" width="3.5" style="284" customWidth="1"/>
    <col min="5380" max="5380" width="5.375" style="284" customWidth="1"/>
    <col min="5381" max="5381" width="9.625" style="284" customWidth="1"/>
    <col min="5382" max="5382" width="49.375" style="284" customWidth="1"/>
    <col min="5383" max="5383" width="2.125" style="284" customWidth="1"/>
    <col min="5384" max="5384" width="12.375" style="284" customWidth="1"/>
    <col min="5385" max="5385" width="12.625" style="284" customWidth="1"/>
    <col min="5386" max="5390" width="12.25" style="284" customWidth="1"/>
    <col min="5391" max="5632" width="8" style="284"/>
    <col min="5633" max="5633" width="2.25" style="284" customWidth="1"/>
    <col min="5634" max="5634" width="3.375" style="284" customWidth="1"/>
    <col min="5635" max="5635" width="3.5" style="284" customWidth="1"/>
    <col min="5636" max="5636" width="5.375" style="284" customWidth="1"/>
    <col min="5637" max="5637" width="9.625" style="284" customWidth="1"/>
    <col min="5638" max="5638" width="49.375" style="284" customWidth="1"/>
    <col min="5639" max="5639" width="2.125" style="284" customWidth="1"/>
    <col min="5640" max="5640" width="12.375" style="284" customWidth="1"/>
    <col min="5641" max="5641" width="12.625" style="284" customWidth="1"/>
    <col min="5642" max="5646" width="12.25" style="284" customWidth="1"/>
    <col min="5647" max="5888" width="8" style="284"/>
    <col min="5889" max="5889" width="2.25" style="284" customWidth="1"/>
    <col min="5890" max="5890" width="3.375" style="284" customWidth="1"/>
    <col min="5891" max="5891" width="3.5" style="284" customWidth="1"/>
    <col min="5892" max="5892" width="5.375" style="284" customWidth="1"/>
    <col min="5893" max="5893" width="9.625" style="284" customWidth="1"/>
    <col min="5894" max="5894" width="49.375" style="284" customWidth="1"/>
    <col min="5895" max="5895" width="2.125" style="284" customWidth="1"/>
    <col min="5896" max="5896" width="12.375" style="284" customWidth="1"/>
    <col min="5897" max="5897" width="12.625" style="284" customWidth="1"/>
    <col min="5898" max="5902" width="12.25" style="284" customWidth="1"/>
    <col min="5903" max="6144" width="8" style="284"/>
    <col min="6145" max="6145" width="2.25" style="284" customWidth="1"/>
    <col min="6146" max="6146" width="3.375" style="284" customWidth="1"/>
    <col min="6147" max="6147" width="3.5" style="284" customWidth="1"/>
    <col min="6148" max="6148" width="5.375" style="284" customWidth="1"/>
    <col min="6149" max="6149" width="9.625" style="284" customWidth="1"/>
    <col min="6150" max="6150" width="49.375" style="284" customWidth="1"/>
    <col min="6151" max="6151" width="2.125" style="284" customWidth="1"/>
    <col min="6152" max="6152" width="12.375" style="284" customWidth="1"/>
    <col min="6153" max="6153" width="12.625" style="284" customWidth="1"/>
    <col min="6154" max="6158" width="12.25" style="284" customWidth="1"/>
    <col min="6159" max="6400" width="8" style="284"/>
    <col min="6401" max="6401" width="2.25" style="284" customWidth="1"/>
    <col min="6402" max="6402" width="3.375" style="284" customWidth="1"/>
    <col min="6403" max="6403" width="3.5" style="284" customWidth="1"/>
    <col min="6404" max="6404" width="5.375" style="284" customWidth="1"/>
    <col min="6405" max="6405" width="9.625" style="284" customWidth="1"/>
    <col min="6406" max="6406" width="49.375" style="284" customWidth="1"/>
    <col min="6407" max="6407" width="2.125" style="284" customWidth="1"/>
    <col min="6408" max="6408" width="12.375" style="284" customWidth="1"/>
    <col min="6409" max="6409" width="12.625" style="284" customWidth="1"/>
    <col min="6410" max="6414" width="12.25" style="284" customWidth="1"/>
    <col min="6415" max="6656" width="8" style="284"/>
    <col min="6657" max="6657" width="2.25" style="284" customWidth="1"/>
    <col min="6658" max="6658" width="3.375" style="284" customWidth="1"/>
    <col min="6659" max="6659" width="3.5" style="284" customWidth="1"/>
    <col min="6660" max="6660" width="5.375" style="284" customWidth="1"/>
    <col min="6661" max="6661" width="9.625" style="284" customWidth="1"/>
    <col min="6662" max="6662" width="49.375" style="284" customWidth="1"/>
    <col min="6663" max="6663" width="2.125" style="284" customWidth="1"/>
    <col min="6664" max="6664" width="12.375" style="284" customWidth="1"/>
    <col min="6665" max="6665" width="12.625" style="284" customWidth="1"/>
    <col min="6666" max="6670" width="12.25" style="284" customWidth="1"/>
    <col min="6671" max="6912" width="8" style="284"/>
    <col min="6913" max="6913" width="2.25" style="284" customWidth="1"/>
    <col min="6914" max="6914" width="3.375" style="284" customWidth="1"/>
    <col min="6915" max="6915" width="3.5" style="284" customWidth="1"/>
    <col min="6916" max="6916" width="5.375" style="284" customWidth="1"/>
    <col min="6917" max="6917" width="9.625" style="284" customWidth="1"/>
    <col min="6918" max="6918" width="49.375" style="284" customWidth="1"/>
    <col min="6919" max="6919" width="2.125" style="284" customWidth="1"/>
    <col min="6920" max="6920" width="12.375" style="284" customWidth="1"/>
    <col min="6921" max="6921" width="12.625" style="284" customWidth="1"/>
    <col min="6922" max="6926" width="12.25" style="284" customWidth="1"/>
    <col min="6927" max="7168" width="8" style="284"/>
    <col min="7169" max="7169" width="2.25" style="284" customWidth="1"/>
    <col min="7170" max="7170" width="3.375" style="284" customWidth="1"/>
    <col min="7171" max="7171" width="3.5" style="284" customWidth="1"/>
    <col min="7172" max="7172" width="5.375" style="284" customWidth="1"/>
    <col min="7173" max="7173" width="9.625" style="284" customWidth="1"/>
    <col min="7174" max="7174" width="49.375" style="284" customWidth="1"/>
    <col min="7175" max="7175" width="2.125" style="284" customWidth="1"/>
    <col min="7176" max="7176" width="12.375" style="284" customWidth="1"/>
    <col min="7177" max="7177" width="12.625" style="284" customWidth="1"/>
    <col min="7178" max="7182" width="12.25" style="284" customWidth="1"/>
    <col min="7183" max="7424" width="8" style="284"/>
    <col min="7425" max="7425" width="2.25" style="284" customWidth="1"/>
    <col min="7426" max="7426" width="3.375" style="284" customWidth="1"/>
    <col min="7427" max="7427" width="3.5" style="284" customWidth="1"/>
    <col min="7428" max="7428" width="5.375" style="284" customWidth="1"/>
    <col min="7429" max="7429" width="9.625" style="284" customWidth="1"/>
    <col min="7430" max="7430" width="49.375" style="284" customWidth="1"/>
    <col min="7431" max="7431" width="2.125" style="284" customWidth="1"/>
    <col min="7432" max="7432" width="12.375" style="284" customWidth="1"/>
    <col min="7433" max="7433" width="12.625" style="284" customWidth="1"/>
    <col min="7434" max="7438" width="12.25" style="284" customWidth="1"/>
    <col min="7439" max="7680" width="8" style="284"/>
    <col min="7681" max="7681" width="2.25" style="284" customWidth="1"/>
    <col min="7682" max="7682" width="3.375" style="284" customWidth="1"/>
    <col min="7683" max="7683" width="3.5" style="284" customWidth="1"/>
    <col min="7684" max="7684" width="5.375" style="284" customWidth="1"/>
    <col min="7685" max="7685" width="9.625" style="284" customWidth="1"/>
    <col min="7686" max="7686" width="49.375" style="284" customWidth="1"/>
    <col min="7687" max="7687" width="2.125" style="284" customWidth="1"/>
    <col min="7688" max="7688" width="12.375" style="284" customWidth="1"/>
    <col min="7689" max="7689" width="12.625" style="284" customWidth="1"/>
    <col min="7690" max="7694" width="12.25" style="284" customWidth="1"/>
    <col min="7695" max="7936" width="8" style="284"/>
    <col min="7937" max="7937" width="2.25" style="284" customWidth="1"/>
    <col min="7938" max="7938" width="3.375" style="284" customWidth="1"/>
    <col min="7939" max="7939" width="3.5" style="284" customWidth="1"/>
    <col min="7940" max="7940" width="5.375" style="284" customWidth="1"/>
    <col min="7941" max="7941" width="9.625" style="284" customWidth="1"/>
    <col min="7942" max="7942" width="49.375" style="284" customWidth="1"/>
    <col min="7943" max="7943" width="2.125" style="284" customWidth="1"/>
    <col min="7944" max="7944" width="12.375" style="284" customWidth="1"/>
    <col min="7945" max="7945" width="12.625" style="284" customWidth="1"/>
    <col min="7946" max="7950" width="12.25" style="284" customWidth="1"/>
    <col min="7951" max="8192" width="8" style="284"/>
    <col min="8193" max="8193" width="2.25" style="284" customWidth="1"/>
    <col min="8194" max="8194" width="3.375" style="284" customWidth="1"/>
    <col min="8195" max="8195" width="3.5" style="284" customWidth="1"/>
    <col min="8196" max="8196" width="5.375" style="284" customWidth="1"/>
    <col min="8197" max="8197" width="9.625" style="284" customWidth="1"/>
    <col min="8198" max="8198" width="49.375" style="284" customWidth="1"/>
    <col min="8199" max="8199" width="2.125" style="284" customWidth="1"/>
    <col min="8200" max="8200" width="12.375" style="284" customWidth="1"/>
    <col min="8201" max="8201" width="12.625" style="284" customWidth="1"/>
    <col min="8202" max="8206" width="12.25" style="284" customWidth="1"/>
    <col min="8207" max="8448" width="8" style="284"/>
    <col min="8449" max="8449" width="2.25" style="284" customWidth="1"/>
    <col min="8450" max="8450" width="3.375" style="284" customWidth="1"/>
    <col min="8451" max="8451" width="3.5" style="284" customWidth="1"/>
    <col min="8452" max="8452" width="5.375" style="284" customWidth="1"/>
    <col min="8453" max="8453" width="9.625" style="284" customWidth="1"/>
    <col min="8454" max="8454" width="49.375" style="284" customWidth="1"/>
    <col min="8455" max="8455" width="2.125" style="284" customWidth="1"/>
    <col min="8456" max="8456" width="12.375" style="284" customWidth="1"/>
    <col min="8457" max="8457" width="12.625" style="284" customWidth="1"/>
    <col min="8458" max="8462" width="12.25" style="284" customWidth="1"/>
    <col min="8463" max="8704" width="8" style="284"/>
    <col min="8705" max="8705" width="2.25" style="284" customWidth="1"/>
    <col min="8706" max="8706" width="3.375" style="284" customWidth="1"/>
    <col min="8707" max="8707" width="3.5" style="284" customWidth="1"/>
    <col min="8708" max="8708" width="5.375" style="284" customWidth="1"/>
    <col min="8709" max="8709" width="9.625" style="284" customWidth="1"/>
    <col min="8710" max="8710" width="49.375" style="284" customWidth="1"/>
    <col min="8711" max="8711" width="2.125" style="284" customWidth="1"/>
    <col min="8712" max="8712" width="12.375" style="284" customWidth="1"/>
    <col min="8713" max="8713" width="12.625" style="284" customWidth="1"/>
    <col min="8714" max="8718" width="12.25" style="284" customWidth="1"/>
    <col min="8719" max="8960" width="8" style="284"/>
    <col min="8961" max="8961" width="2.25" style="284" customWidth="1"/>
    <col min="8962" max="8962" width="3.375" style="284" customWidth="1"/>
    <col min="8963" max="8963" width="3.5" style="284" customWidth="1"/>
    <col min="8964" max="8964" width="5.375" style="284" customWidth="1"/>
    <col min="8965" max="8965" width="9.625" style="284" customWidth="1"/>
    <col min="8966" max="8966" width="49.375" style="284" customWidth="1"/>
    <col min="8967" max="8967" width="2.125" style="284" customWidth="1"/>
    <col min="8968" max="8968" width="12.375" style="284" customWidth="1"/>
    <col min="8969" max="8969" width="12.625" style="284" customWidth="1"/>
    <col min="8970" max="8974" width="12.25" style="284" customWidth="1"/>
    <col min="8975" max="9216" width="8" style="284"/>
    <col min="9217" max="9217" width="2.25" style="284" customWidth="1"/>
    <col min="9218" max="9218" width="3.375" style="284" customWidth="1"/>
    <col min="9219" max="9219" width="3.5" style="284" customWidth="1"/>
    <col min="9220" max="9220" width="5.375" style="284" customWidth="1"/>
    <col min="9221" max="9221" width="9.625" style="284" customWidth="1"/>
    <col min="9222" max="9222" width="49.375" style="284" customWidth="1"/>
    <col min="9223" max="9223" width="2.125" style="284" customWidth="1"/>
    <col min="9224" max="9224" width="12.375" style="284" customWidth="1"/>
    <col min="9225" max="9225" width="12.625" style="284" customWidth="1"/>
    <col min="9226" max="9230" width="12.25" style="284" customWidth="1"/>
    <col min="9231" max="9472" width="8" style="284"/>
    <col min="9473" max="9473" width="2.25" style="284" customWidth="1"/>
    <col min="9474" max="9474" width="3.375" style="284" customWidth="1"/>
    <col min="9475" max="9475" width="3.5" style="284" customWidth="1"/>
    <col min="9476" max="9476" width="5.375" style="284" customWidth="1"/>
    <col min="9477" max="9477" width="9.625" style="284" customWidth="1"/>
    <col min="9478" max="9478" width="49.375" style="284" customWidth="1"/>
    <col min="9479" max="9479" width="2.125" style="284" customWidth="1"/>
    <col min="9480" max="9480" width="12.375" style="284" customWidth="1"/>
    <col min="9481" max="9481" width="12.625" style="284" customWidth="1"/>
    <col min="9482" max="9486" width="12.25" style="284" customWidth="1"/>
    <col min="9487" max="9728" width="8" style="284"/>
    <col min="9729" max="9729" width="2.25" style="284" customWidth="1"/>
    <col min="9730" max="9730" width="3.375" style="284" customWidth="1"/>
    <col min="9731" max="9731" width="3.5" style="284" customWidth="1"/>
    <col min="9732" max="9732" width="5.375" style="284" customWidth="1"/>
    <col min="9733" max="9733" width="9.625" style="284" customWidth="1"/>
    <col min="9734" max="9734" width="49.375" style="284" customWidth="1"/>
    <col min="9735" max="9735" width="2.125" style="284" customWidth="1"/>
    <col min="9736" max="9736" width="12.375" style="284" customWidth="1"/>
    <col min="9737" max="9737" width="12.625" style="284" customWidth="1"/>
    <col min="9738" max="9742" width="12.25" style="284" customWidth="1"/>
    <col min="9743" max="9984" width="8" style="284"/>
    <col min="9985" max="9985" width="2.25" style="284" customWidth="1"/>
    <col min="9986" max="9986" width="3.375" style="284" customWidth="1"/>
    <col min="9987" max="9987" width="3.5" style="284" customWidth="1"/>
    <col min="9988" max="9988" width="5.375" style="284" customWidth="1"/>
    <col min="9989" max="9989" width="9.625" style="284" customWidth="1"/>
    <col min="9990" max="9990" width="49.375" style="284" customWidth="1"/>
    <col min="9991" max="9991" width="2.125" style="284" customWidth="1"/>
    <col min="9992" max="9992" width="12.375" style="284" customWidth="1"/>
    <col min="9993" max="9993" width="12.625" style="284" customWidth="1"/>
    <col min="9994" max="9998" width="12.25" style="284" customWidth="1"/>
    <col min="9999" max="10240" width="8" style="284"/>
    <col min="10241" max="10241" width="2.25" style="284" customWidth="1"/>
    <col min="10242" max="10242" width="3.375" style="284" customWidth="1"/>
    <col min="10243" max="10243" width="3.5" style="284" customWidth="1"/>
    <col min="10244" max="10244" width="5.375" style="284" customWidth="1"/>
    <col min="10245" max="10245" width="9.625" style="284" customWidth="1"/>
    <col min="10246" max="10246" width="49.375" style="284" customWidth="1"/>
    <col min="10247" max="10247" width="2.125" style="284" customWidth="1"/>
    <col min="10248" max="10248" width="12.375" style="284" customWidth="1"/>
    <col min="10249" max="10249" width="12.625" style="284" customWidth="1"/>
    <col min="10250" max="10254" width="12.25" style="284" customWidth="1"/>
    <col min="10255" max="10496" width="8" style="284"/>
    <col min="10497" max="10497" width="2.25" style="284" customWidth="1"/>
    <col min="10498" max="10498" width="3.375" style="284" customWidth="1"/>
    <col min="10499" max="10499" width="3.5" style="284" customWidth="1"/>
    <col min="10500" max="10500" width="5.375" style="284" customWidth="1"/>
    <col min="10501" max="10501" width="9.625" style="284" customWidth="1"/>
    <col min="10502" max="10502" width="49.375" style="284" customWidth="1"/>
    <col min="10503" max="10503" width="2.125" style="284" customWidth="1"/>
    <col min="10504" max="10504" width="12.375" style="284" customWidth="1"/>
    <col min="10505" max="10505" width="12.625" style="284" customWidth="1"/>
    <col min="10506" max="10510" width="12.25" style="284" customWidth="1"/>
    <col min="10511" max="10752" width="8" style="284"/>
    <col min="10753" max="10753" width="2.25" style="284" customWidth="1"/>
    <col min="10754" max="10754" width="3.375" style="284" customWidth="1"/>
    <col min="10755" max="10755" width="3.5" style="284" customWidth="1"/>
    <col min="10756" max="10756" width="5.375" style="284" customWidth="1"/>
    <col min="10757" max="10757" width="9.625" style="284" customWidth="1"/>
    <col min="10758" max="10758" width="49.375" style="284" customWidth="1"/>
    <col min="10759" max="10759" width="2.125" style="284" customWidth="1"/>
    <col min="10760" max="10760" width="12.375" style="284" customWidth="1"/>
    <col min="10761" max="10761" width="12.625" style="284" customWidth="1"/>
    <col min="10762" max="10766" width="12.25" style="284" customWidth="1"/>
    <col min="10767" max="11008" width="8" style="284"/>
    <col min="11009" max="11009" width="2.25" style="284" customWidth="1"/>
    <col min="11010" max="11010" width="3.375" style="284" customWidth="1"/>
    <col min="11011" max="11011" width="3.5" style="284" customWidth="1"/>
    <col min="11012" max="11012" width="5.375" style="284" customWidth="1"/>
    <col min="11013" max="11013" width="9.625" style="284" customWidth="1"/>
    <col min="11014" max="11014" width="49.375" style="284" customWidth="1"/>
    <col min="11015" max="11015" width="2.125" style="284" customWidth="1"/>
    <col min="11016" max="11016" width="12.375" style="284" customWidth="1"/>
    <col min="11017" max="11017" width="12.625" style="284" customWidth="1"/>
    <col min="11018" max="11022" width="12.25" style="284" customWidth="1"/>
    <col min="11023" max="11264" width="8" style="284"/>
    <col min="11265" max="11265" width="2.25" style="284" customWidth="1"/>
    <col min="11266" max="11266" width="3.375" style="284" customWidth="1"/>
    <col min="11267" max="11267" width="3.5" style="284" customWidth="1"/>
    <col min="11268" max="11268" width="5.375" style="284" customWidth="1"/>
    <col min="11269" max="11269" width="9.625" style="284" customWidth="1"/>
    <col min="11270" max="11270" width="49.375" style="284" customWidth="1"/>
    <col min="11271" max="11271" width="2.125" style="284" customWidth="1"/>
    <col min="11272" max="11272" width="12.375" style="284" customWidth="1"/>
    <col min="11273" max="11273" width="12.625" style="284" customWidth="1"/>
    <col min="11274" max="11278" width="12.25" style="284" customWidth="1"/>
    <col min="11279" max="11520" width="8" style="284"/>
    <col min="11521" max="11521" width="2.25" style="284" customWidth="1"/>
    <col min="11522" max="11522" width="3.375" style="284" customWidth="1"/>
    <col min="11523" max="11523" width="3.5" style="284" customWidth="1"/>
    <col min="11524" max="11524" width="5.375" style="284" customWidth="1"/>
    <col min="11525" max="11525" width="9.625" style="284" customWidth="1"/>
    <col min="11526" max="11526" width="49.375" style="284" customWidth="1"/>
    <col min="11527" max="11527" width="2.125" style="284" customWidth="1"/>
    <col min="11528" max="11528" width="12.375" style="284" customWidth="1"/>
    <col min="11529" max="11529" width="12.625" style="284" customWidth="1"/>
    <col min="11530" max="11534" width="12.25" style="284" customWidth="1"/>
    <col min="11535" max="11776" width="8" style="284"/>
    <col min="11777" max="11777" width="2.25" style="284" customWidth="1"/>
    <col min="11778" max="11778" width="3.375" style="284" customWidth="1"/>
    <col min="11779" max="11779" width="3.5" style="284" customWidth="1"/>
    <col min="11780" max="11780" width="5.375" style="284" customWidth="1"/>
    <col min="11781" max="11781" width="9.625" style="284" customWidth="1"/>
    <col min="11782" max="11782" width="49.375" style="284" customWidth="1"/>
    <col min="11783" max="11783" width="2.125" style="284" customWidth="1"/>
    <col min="11784" max="11784" width="12.375" style="284" customWidth="1"/>
    <col min="11785" max="11785" width="12.625" style="284" customWidth="1"/>
    <col min="11786" max="11790" width="12.25" style="284" customWidth="1"/>
    <col min="11791" max="12032" width="8" style="284"/>
    <col min="12033" max="12033" width="2.25" style="284" customWidth="1"/>
    <col min="12034" max="12034" width="3.375" style="284" customWidth="1"/>
    <col min="12035" max="12035" width="3.5" style="284" customWidth="1"/>
    <col min="12036" max="12036" width="5.375" style="284" customWidth="1"/>
    <col min="12037" max="12037" width="9.625" style="284" customWidth="1"/>
    <col min="12038" max="12038" width="49.375" style="284" customWidth="1"/>
    <col min="12039" max="12039" width="2.125" style="284" customWidth="1"/>
    <col min="12040" max="12040" width="12.375" style="284" customWidth="1"/>
    <col min="12041" max="12041" width="12.625" style="284" customWidth="1"/>
    <col min="12042" max="12046" width="12.25" style="284" customWidth="1"/>
    <col min="12047" max="12288" width="8" style="284"/>
    <col min="12289" max="12289" width="2.25" style="284" customWidth="1"/>
    <col min="12290" max="12290" width="3.375" style="284" customWidth="1"/>
    <col min="12291" max="12291" width="3.5" style="284" customWidth="1"/>
    <col min="12292" max="12292" width="5.375" style="284" customWidth="1"/>
    <col min="12293" max="12293" width="9.625" style="284" customWidth="1"/>
    <col min="12294" max="12294" width="49.375" style="284" customWidth="1"/>
    <col min="12295" max="12295" width="2.125" style="284" customWidth="1"/>
    <col min="12296" max="12296" width="12.375" style="284" customWidth="1"/>
    <col min="12297" max="12297" width="12.625" style="284" customWidth="1"/>
    <col min="12298" max="12302" width="12.25" style="284" customWidth="1"/>
    <col min="12303" max="12544" width="8" style="284"/>
    <col min="12545" max="12545" width="2.25" style="284" customWidth="1"/>
    <col min="12546" max="12546" width="3.375" style="284" customWidth="1"/>
    <col min="12547" max="12547" width="3.5" style="284" customWidth="1"/>
    <col min="12548" max="12548" width="5.375" style="284" customWidth="1"/>
    <col min="12549" max="12549" width="9.625" style="284" customWidth="1"/>
    <col min="12550" max="12550" width="49.375" style="284" customWidth="1"/>
    <col min="12551" max="12551" width="2.125" style="284" customWidth="1"/>
    <col min="12552" max="12552" width="12.375" style="284" customWidth="1"/>
    <col min="12553" max="12553" width="12.625" style="284" customWidth="1"/>
    <col min="12554" max="12558" width="12.25" style="284" customWidth="1"/>
    <col min="12559" max="12800" width="8" style="284"/>
    <col min="12801" max="12801" width="2.25" style="284" customWidth="1"/>
    <col min="12802" max="12802" width="3.375" style="284" customWidth="1"/>
    <col min="12803" max="12803" width="3.5" style="284" customWidth="1"/>
    <col min="12804" max="12804" width="5.375" style="284" customWidth="1"/>
    <col min="12805" max="12805" width="9.625" style="284" customWidth="1"/>
    <col min="12806" max="12806" width="49.375" style="284" customWidth="1"/>
    <col min="12807" max="12807" width="2.125" style="284" customWidth="1"/>
    <col min="12808" max="12808" width="12.375" style="284" customWidth="1"/>
    <col min="12809" max="12809" width="12.625" style="284" customWidth="1"/>
    <col min="12810" max="12814" width="12.25" style="284" customWidth="1"/>
    <col min="12815" max="13056" width="8" style="284"/>
    <col min="13057" max="13057" width="2.25" style="284" customWidth="1"/>
    <col min="13058" max="13058" width="3.375" style="284" customWidth="1"/>
    <col min="13059" max="13059" width="3.5" style="284" customWidth="1"/>
    <col min="13060" max="13060" width="5.375" style="284" customWidth="1"/>
    <col min="13061" max="13061" width="9.625" style="284" customWidth="1"/>
    <col min="13062" max="13062" width="49.375" style="284" customWidth="1"/>
    <col min="13063" max="13063" width="2.125" style="284" customWidth="1"/>
    <col min="13064" max="13064" width="12.375" style="284" customWidth="1"/>
    <col min="13065" max="13065" width="12.625" style="284" customWidth="1"/>
    <col min="13066" max="13070" width="12.25" style="284" customWidth="1"/>
    <col min="13071" max="13312" width="8" style="284"/>
    <col min="13313" max="13313" width="2.25" style="284" customWidth="1"/>
    <col min="13314" max="13314" width="3.375" style="284" customWidth="1"/>
    <col min="13315" max="13315" width="3.5" style="284" customWidth="1"/>
    <col min="13316" max="13316" width="5.375" style="284" customWidth="1"/>
    <col min="13317" max="13317" width="9.625" style="284" customWidth="1"/>
    <col min="13318" max="13318" width="49.375" style="284" customWidth="1"/>
    <col min="13319" max="13319" width="2.125" style="284" customWidth="1"/>
    <col min="13320" max="13320" width="12.375" style="284" customWidth="1"/>
    <col min="13321" max="13321" width="12.625" style="284" customWidth="1"/>
    <col min="13322" max="13326" width="12.25" style="284" customWidth="1"/>
    <col min="13327" max="13568" width="8" style="284"/>
    <col min="13569" max="13569" width="2.25" style="284" customWidth="1"/>
    <col min="13570" max="13570" width="3.375" style="284" customWidth="1"/>
    <col min="13571" max="13571" width="3.5" style="284" customWidth="1"/>
    <col min="13572" max="13572" width="5.375" style="284" customWidth="1"/>
    <col min="13573" max="13573" width="9.625" style="284" customWidth="1"/>
    <col min="13574" max="13574" width="49.375" style="284" customWidth="1"/>
    <col min="13575" max="13575" width="2.125" style="284" customWidth="1"/>
    <col min="13576" max="13576" width="12.375" style="284" customWidth="1"/>
    <col min="13577" max="13577" width="12.625" style="284" customWidth="1"/>
    <col min="13578" max="13582" width="12.25" style="284" customWidth="1"/>
    <col min="13583" max="13824" width="8" style="284"/>
    <col min="13825" max="13825" width="2.25" style="284" customWidth="1"/>
    <col min="13826" max="13826" width="3.375" style="284" customWidth="1"/>
    <col min="13827" max="13827" width="3.5" style="284" customWidth="1"/>
    <col min="13828" max="13828" width="5.375" style="284" customWidth="1"/>
    <col min="13829" max="13829" width="9.625" style="284" customWidth="1"/>
    <col min="13830" max="13830" width="49.375" style="284" customWidth="1"/>
    <col min="13831" max="13831" width="2.125" style="284" customWidth="1"/>
    <col min="13832" max="13832" width="12.375" style="284" customWidth="1"/>
    <col min="13833" max="13833" width="12.625" style="284" customWidth="1"/>
    <col min="13834" max="13838" width="12.25" style="284" customWidth="1"/>
    <col min="13839" max="14080" width="8" style="284"/>
    <col min="14081" max="14081" width="2.25" style="284" customWidth="1"/>
    <col min="14082" max="14082" width="3.375" style="284" customWidth="1"/>
    <col min="14083" max="14083" width="3.5" style="284" customWidth="1"/>
    <col min="14084" max="14084" width="5.375" style="284" customWidth="1"/>
    <col min="14085" max="14085" width="9.625" style="284" customWidth="1"/>
    <col min="14086" max="14086" width="49.375" style="284" customWidth="1"/>
    <col min="14087" max="14087" width="2.125" style="284" customWidth="1"/>
    <col min="14088" max="14088" width="12.375" style="284" customWidth="1"/>
    <col min="14089" max="14089" width="12.625" style="284" customWidth="1"/>
    <col min="14090" max="14094" width="12.25" style="284" customWidth="1"/>
    <col min="14095" max="14336" width="8" style="284"/>
    <col min="14337" max="14337" width="2.25" style="284" customWidth="1"/>
    <col min="14338" max="14338" width="3.375" style="284" customWidth="1"/>
    <col min="14339" max="14339" width="3.5" style="284" customWidth="1"/>
    <col min="14340" max="14340" width="5.375" style="284" customWidth="1"/>
    <col min="14341" max="14341" width="9.625" style="284" customWidth="1"/>
    <col min="14342" max="14342" width="49.375" style="284" customWidth="1"/>
    <col min="14343" max="14343" width="2.125" style="284" customWidth="1"/>
    <col min="14344" max="14344" width="12.375" style="284" customWidth="1"/>
    <col min="14345" max="14345" width="12.625" style="284" customWidth="1"/>
    <col min="14346" max="14350" width="12.25" style="284" customWidth="1"/>
    <col min="14351" max="14592" width="8" style="284"/>
    <col min="14593" max="14593" width="2.25" style="284" customWidth="1"/>
    <col min="14594" max="14594" width="3.375" style="284" customWidth="1"/>
    <col min="14595" max="14595" width="3.5" style="284" customWidth="1"/>
    <col min="14596" max="14596" width="5.375" style="284" customWidth="1"/>
    <col min="14597" max="14597" width="9.625" style="284" customWidth="1"/>
    <col min="14598" max="14598" width="49.375" style="284" customWidth="1"/>
    <col min="14599" max="14599" width="2.125" style="284" customWidth="1"/>
    <col min="14600" max="14600" width="12.375" style="284" customWidth="1"/>
    <col min="14601" max="14601" width="12.625" style="284" customWidth="1"/>
    <col min="14602" max="14606" width="12.25" style="284" customWidth="1"/>
    <col min="14607" max="14848" width="8" style="284"/>
    <col min="14849" max="14849" width="2.25" style="284" customWidth="1"/>
    <col min="14850" max="14850" width="3.375" style="284" customWidth="1"/>
    <col min="14851" max="14851" width="3.5" style="284" customWidth="1"/>
    <col min="14852" max="14852" width="5.375" style="284" customWidth="1"/>
    <col min="14853" max="14853" width="9.625" style="284" customWidth="1"/>
    <col min="14854" max="14854" width="49.375" style="284" customWidth="1"/>
    <col min="14855" max="14855" width="2.125" style="284" customWidth="1"/>
    <col min="14856" max="14856" width="12.375" style="284" customWidth="1"/>
    <col min="14857" max="14857" width="12.625" style="284" customWidth="1"/>
    <col min="14858" max="14862" width="12.25" style="284" customWidth="1"/>
    <col min="14863" max="15104" width="8" style="284"/>
    <col min="15105" max="15105" width="2.25" style="284" customWidth="1"/>
    <col min="15106" max="15106" width="3.375" style="284" customWidth="1"/>
    <col min="15107" max="15107" width="3.5" style="284" customWidth="1"/>
    <col min="15108" max="15108" width="5.375" style="284" customWidth="1"/>
    <col min="15109" max="15109" width="9.625" style="284" customWidth="1"/>
    <col min="15110" max="15110" width="49.375" style="284" customWidth="1"/>
    <col min="15111" max="15111" width="2.125" style="284" customWidth="1"/>
    <col min="15112" max="15112" width="12.375" style="284" customWidth="1"/>
    <col min="15113" max="15113" width="12.625" style="284" customWidth="1"/>
    <col min="15114" max="15118" width="12.25" style="284" customWidth="1"/>
    <col min="15119" max="15360" width="8" style="284"/>
    <col min="15361" max="15361" width="2.25" style="284" customWidth="1"/>
    <col min="15362" max="15362" width="3.375" style="284" customWidth="1"/>
    <col min="15363" max="15363" width="3.5" style="284" customWidth="1"/>
    <col min="15364" max="15364" width="5.375" style="284" customWidth="1"/>
    <col min="15365" max="15365" width="9.625" style="284" customWidth="1"/>
    <col min="15366" max="15366" width="49.375" style="284" customWidth="1"/>
    <col min="15367" max="15367" width="2.125" style="284" customWidth="1"/>
    <col min="15368" max="15368" width="12.375" style="284" customWidth="1"/>
    <col min="15369" max="15369" width="12.625" style="284" customWidth="1"/>
    <col min="15370" max="15374" width="12.25" style="284" customWidth="1"/>
    <col min="15375" max="15616" width="8" style="284"/>
    <col min="15617" max="15617" width="2.25" style="284" customWidth="1"/>
    <col min="15618" max="15618" width="3.375" style="284" customWidth="1"/>
    <col min="15619" max="15619" width="3.5" style="284" customWidth="1"/>
    <col min="15620" max="15620" width="5.375" style="284" customWidth="1"/>
    <col min="15621" max="15621" width="9.625" style="284" customWidth="1"/>
    <col min="15622" max="15622" width="49.375" style="284" customWidth="1"/>
    <col min="15623" max="15623" width="2.125" style="284" customWidth="1"/>
    <col min="15624" max="15624" width="12.375" style="284" customWidth="1"/>
    <col min="15625" max="15625" width="12.625" style="284" customWidth="1"/>
    <col min="15626" max="15630" width="12.25" style="284" customWidth="1"/>
    <col min="15631" max="15872" width="8" style="284"/>
    <col min="15873" max="15873" width="2.25" style="284" customWidth="1"/>
    <col min="15874" max="15874" width="3.375" style="284" customWidth="1"/>
    <col min="15875" max="15875" width="3.5" style="284" customWidth="1"/>
    <col min="15876" max="15876" width="5.375" style="284" customWidth="1"/>
    <col min="15877" max="15877" width="9.625" style="284" customWidth="1"/>
    <col min="15878" max="15878" width="49.375" style="284" customWidth="1"/>
    <col min="15879" max="15879" width="2.125" style="284" customWidth="1"/>
    <col min="15880" max="15880" width="12.375" style="284" customWidth="1"/>
    <col min="15881" max="15881" width="12.625" style="284" customWidth="1"/>
    <col min="15882" max="15886" width="12.25" style="284" customWidth="1"/>
    <col min="15887" max="16128" width="8" style="284"/>
    <col min="16129" max="16129" width="2.25" style="284" customWidth="1"/>
    <col min="16130" max="16130" width="3.375" style="284" customWidth="1"/>
    <col min="16131" max="16131" width="3.5" style="284" customWidth="1"/>
    <col min="16132" max="16132" width="5.375" style="284" customWidth="1"/>
    <col min="16133" max="16133" width="9.625" style="284" customWidth="1"/>
    <col min="16134" max="16134" width="49.375" style="284" customWidth="1"/>
    <col min="16135" max="16135" width="2.125" style="284" customWidth="1"/>
    <col min="16136" max="16136" width="12.375" style="284" customWidth="1"/>
    <col min="16137" max="16137" width="12.625" style="284" customWidth="1"/>
    <col min="16138" max="16142" width="12.25" style="284" customWidth="1"/>
    <col min="16143" max="16384" width="8" style="284"/>
  </cols>
  <sheetData>
    <row r="1" spans="1:14" s="298" customFormat="1" ht="16.5" customHeight="1">
      <c r="D1" s="414"/>
      <c r="E1" s="420"/>
      <c r="F1" s="809"/>
      <c r="G1" s="420"/>
      <c r="H1" s="419"/>
      <c r="I1" s="809"/>
      <c r="J1" s="809"/>
      <c r="K1" s="809"/>
      <c r="L1" s="1252" t="s">
        <v>1168</v>
      </c>
      <c r="M1" s="1252"/>
      <c r="N1" s="1252"/>
    </row>
    <row r="2" spans="1:14" s="298" customFormat="1" ht="16.5" customHeight="1">
      <c r="C2" s="421" t="s">
        <v>791</v>
      </c>
      <c r="D2" s="421"/>
      <c r="E2" s="420"/>
      <c r="F2" s="809"/>
      <c r="G2" s="420"/>
      <c r="H2" s="419"/>
      <c r="I2" s="809"/>
      <c r="J2" s="417"/>
      <c r="K2" s="417"/>
      <c r="L2" s="809" t="s">
        <v>790</v>
      </c>
      <c r="M2" s="417"/>
      <c r="N2" s="417"/>
    </row>
    <row r="3" spans="1:14" s="298" customFormat="1" ht="2.25" customHeight="1">
      <c r="D3" s="421"/>
      <c r="E3" s="420"/>
      <c r="F3" s="809"/>
      <c r="G3" s="420"/>
      <c r="H3" s="419"/>
      <c r="I3" s="809"/>
      <c r="J3" s="417"/>
      <c r="K3" s="417"/>
      <c r="L3" s="809"/>
      <c r="M3" s="417"/>
      <c r="N3" s="417"/>
    </row>
    <row r="4" spans="1:14" s="298" customFormat="1" ht="42" customHeight="1">
      <c r="A4" s="1253" t="s">
        <v>789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</row>
    <row r="5" spans="1:14" s="298" customFormat="1" ht="12" customHeight="1">
      <c r="A5" s="418"/>
      <c r="B5" s="418"/>
      <c r="C5" s="418"/>
      <c r="D5" s="418"/>
      <c r="E5" s="416"/>
      <c r="F5" s="417"/>
      <c r="G5" s="416"/>
      <c r="H5" s="415"/>
      <c r="I5" s="414"/>
      <c r="J5" s="414"/>
      <c r="K5" s="414"/>
      <c r="L5" s="414"/>
      <c r="M5" s="414"/>
      <c r="N5" s="414" t="s">
        <v>0</v>
      </c>
    </row>
    <row r="6" spans="1:14" s="372" customFormat="1" ht="30.75" customHeight="1">
      <c r="A6" s="1255" t="s">
        <v>788</v>
      </c>
      <c r="B6" s="1256"/>
      <c r="C6" s="1255" t="s">
        <v>8</v>
      </c>
      <c r="D6" s="1256"/>
      <c r="E6" s="1255" t="s">
        <v>787</v>
      </c>
      <c r="F6" s="1261"/>
      <c r="G6" s="1264" t="s">
        <v>11</v>
      </c>
      <c r="H6" s="1267" t="s">
        <v>79</v>
      </c>
      <c r="I6" s="1270" t="s">
        <v>786</v>
      </c>
      <c r="J6" s="1271"/>
      <c r="K6" s="1272"/>
      <c r="L6" s="1270" t="s">
        <v>785</v>
      </c>
      <c r="M6" s="1271"/>
      <c r="N6" s="1272"/>
    </row>
    <row r="7" spans="1:14" s="372" customFormat="1" ht="15.75" customHeight="1">
      <c r="A7" s="1257"/>
      <c r="B7" s="1258"/>
      <c r="C7" s="1257"/>
      <c r="D7" s="1258"/>
      <c r="E7" s="1262"/>
      <c r="F7" s="1263"/>
      <c r="G7" s="1265"/>
      <c r="H7" s="1268"/>
      <c r="I7" s="1242" t="s">
        <v>784</v>
      </c>
      <c r="J7" s="810" t="s">
        <v>45</v>
      </c>
      <c r="K7" s="811"/>
      <c r="L7" s="1242" t="s">
        <v>784</v>
      </c>
      <c r="M7" s="810" t="s">
        <v>45</v>
      </c>
      <c r="N7" s="811"/>
    </row>
    <row r="8" spans="1:14" s="372" customFormat="1" ht="17.25" customHeight="1">
      <c r="A8" s="1259"/>
      <c r="B8" s="1260"/>
      <c r="C8" s="1259"/>
      <c r="D8" s="1260"/>
      <c r="E8" s="413" t="s">
        <v>783</v>
      </c>
      <c r="F8" s="412"/>
      <c r="G8" s="1266"/>
      <c r="H8" s="1269"/>
      <c r="I8" s="1243"/>
      <c r="J8" s="811" t="s">
        <v>782</v>
      </c>
      <c r="K8" s="411" t="s">
        <v>781</v>
      </c>
      <c r="L8" s="1243"/>
      <c r="M8" s="811" t="s">
        <v>782</v>
      </c>
      <c r="N8" s="411" t="s">
        <v>781</v>
      </c>
    </row>
    <row r="9" spans="1:14" s="408" customFormat="1" ht="11.25">
      <c r="A9" s="1244">
        <v>1</v>
      </c>
      <c r="B9" s="1245"/>
      <c r="C9" s="1244">
        <v>2</v>
      </c>
      <c r="D9" s="1245"/>
      <c r="E9" s="410">
        <v>3</v>
      </c>
      <c r="F9" s="410">
        <v>4</v>
      </c>
      <c r="G9" s="410">
        <v>5</v>
      </c>
      <c r="H9" s="410">
        <v>6</v>
      </c>
      <c r="I9" s="409">
        <v>7</v>
      </c>
      <c r="J9" s="409">
        <v>8</v>
      </c>
      <c r="K9" s="409">
        <v>9</v>
      </c>
      <c r="L9" s="409">
        <v>10</v>
      </c>
      <c r="M9" s="409">
        <v>11</v>
      </c>
      <c r="N9" s="409">
        <v>12</v>
      </c>
    </row>
    <row r="10" spans="1:14" s="401" customFormat="1" ht="5.25" customHeight="1">
      <c r="A10" s="407"/>
      <c r="B10" s="406"/>
      <c r="C10" s="406"/>
      <c r="D10" s="406"/>
      <c r="E10" s="405"/>
      <c r="F10" s="405"/>
      <c r="G10" s="405"/>
      <c r="H10" s="404"/>
      <c r="I10" s="403"/>
      <c r="J10" s="403"/>
      <c r="K10" s="403"/>
      <c r="L10" s="403"/>
      <c r="M10" s="403"/>
      <c r="N10" s="402"/>
    </row>
    <row r="11" spans="1:14" s="399" customFormat="1" ht="15" customHeight="1">
      <c r="A11" s="1246" t="s">
        <v>12</v>
      </c>
      <c r="B11" s="1247"/>
      <c r="C11" s="1247"/>
      <c r="D11" s="1247"/>
      <c r="E11" s="1247"/>
      <c r="F11" s="1247"/>
      <c r="G11" s="400" t="s">
        <v>13</v>
      </c>
      <c r="H11" s="305">
        <f>I11+L11</f>
        <v>480021547</v>
      </c>
      <c r="I11" s="305">
        <f>J11+K11</f>
        <v>280492841</v>
      </c>
      <c r="J11" s="305">
        <f t="shared" ref="J11:K13" si="0">J15+J56+J206</f>
        <v>143052395</v>
      </c>
      <c r="K11" s="305">
        <f t="shared" si="0"/>
        <v>137440446</v>
      </c>
      <c r="L11" s="305">
        <f>M11+N11</f>
        <v>199528706</v>
      </c>
      <c r="M11" s="305">
        <f t="shared" ref="M11:N13" si="1">M15+M56+M206</f>
        <v>16565027</v>
      </c>
      <c r="N11" s="305">
        <f t="shared" si="1"/>
        <v>182963679</v>
      </c>
    </row>
    <row r="12" spans="1:14" s="399" customFormat="1" ht="15" customHeight="1">
      <c r="A12" s="1248"/>
      <c r="B12" s="1249"/>
      <c r="C12" s="1249"/>
      <c r="D12" s="1249"/>
      <c r="E12" s="1249"/>
      <c r="F12" s="1249"/>
      <c r="G12" s="400" t="s">
        <v>14</v>
      </c>
      <c r="H12" s="305">
        <f>I12+L12</f>
        <v>100975880</v>
      </c>
      <c r="I12" s="305">
        <f>J12+K12</f>
        <v>76984900</v>
      </c>
      <c r="J12" s="305">
        <f t="shared" si="0"/>
        <v>66634960</v>
      </c>
      <c r="K12" s="305">
        <f t="shared" si="0"/>
        <v>10349940</v>
      </c>
      <c r="L12" s="305">
        <f>M12+N12</f>
        <v>23990980</v>
      </c>
      <c r="M12" s="305">
        <f t="shared" si="1"/>
        <v>7981151</v>
      </c>
      <c r="N12" s="305">
        <f t="shared" si="1"/>
        <v>16009829</v>
      </c>
    </row>
    <row r="13" spans="1:14" s="399" customFormat="1" ht="15" customHeight="1">
      <c r="A13" s="1250"/>
      <c r="B13" s="1251"/>
      <c r="C13" s="1251"/>
      <c r="D13" s="1251"/>
      <c r="E13" s="1251"/>
      <c r="F13" s="1251"/>
      <c r="G13" s="400" t="s">
        <v>15</v>
      </c>
      <c r="H13" s="305">
        <f>I13+L13</f>
        <v>580997427</v>
      </c>
      <c r="I13" s="305">
        <f>J13+K13</f>
        <v>357477741</v>
      </c>
      <c r="J13" s="305">
        <f t="shared" si="0"/>
        <v>209687355</v>
      </c>
      <c r="K13" s="305">
        <f t="shared" si="0"/>
        <v>147790386</v>
      </c>
      <c r="L13" s="305">
        <f>M13+N13</f>
        <v>223519686</v>
      </c>
      <c r="M13" s="305">
        <f t="shared" si="1"/>
        <v>24546178</v>
      </c>
      <c r="N13" s="305">
        <f t="shared" si="1"/>
        <v>198973508</v>
      </c>
    </row>
    <row r="14" spans="1:14" s="355" customFormat="1" ht="5.25" customHeight="1">
      <c r="A14" s="398"/>
      <c r="B14" s="397"/>
      <c r="C14" s="397"/>
      <c r="D14" s="397"/>
      <c r="E14" s="395"/>
      <c r="F14" s="396"/>
      <c r="G14" s="395"/>
      <c r="H14" s="394"/>
      <c r="I14" s="393"/>
      <c r="J14" s="393"/>
      <c r="K14" s="393"/>
      <c r="L14" s="393"/>
      <c r="M14" s="393"/>
      <c r="N14" s="392"/>
    </row>
    <row r="15" spans="1:14" s="362" customFormat="1" ht="15" customHeight="1">
      <c r="A15" s="1222" t="s">
        <v>780</v>
      </c>
      <c r="B15" s="1223"/>
      <c r="C15" s="1223"/>
      <c r="D15" s="1223"/>
      <c r="E15" s="1223"/>
      <c r="F15" s="1223"/>
      <c r="G15" s="364" t="s">
        <v>13</v>
      </c>
      <c r="H15" s="390">
        <f>I15+L15</f>
        <v>84040539</v>
      </c>
      <c r="I15" s="391">
        <f>J15+K15</f>
        <v>0</v>
      </c>
      <c r="J15" s="390">
        <f t="shared" ref="J15:K17" si="2">J19+J22+J25+J28+J31+J34+J37+J40+J43+J46+J49+J52</f>
        <v>0</v>
      </c>
      <c r="K15" s="390">
        <f t="shared" si="2"/>
        <v>0</v>
      </c>
      <c r="L15" s="390">
        <f>M15+N15</f>
        <v>84040539</v>
      </c>
      <c r="M15" s="390">
        <f t="shared" ref="M15:N17" si="3">M19+M22+M25+M28+M31+M34+M37+M40+M43+M46+M49+M52</f>
        <v>0</v>
      </c>
      <c r="N15" s="390">
        <f t="shared" si="3"/>
        <v>84040539</v>
      </c>
    </row>
    <row r="16" spans="1:14" s="362" customFormat="1" ht="15" customHeight="1">
      <c r="A16" s="1224"/>
      <c r="B16" s="1225"/>
      <c r="C16" s="1225"/>
      <c r="D16" s="1225"/>
      <c r="E16" s="1225"/>
      <c r="F16" s="1225"/>
      <c r="G16" s="364" t="s">
        <v>14</v>
      </c>
      <c r="H16" s="390">
        <f>I16+L16</f>
        <v>12459461</v>
      </c>
      <c r="I16" s="391">
        <f>J16+K16</f>
        <v>0</v>
      </c>
      <c r="J16" s="390">
        <f t="shared" si="2"/>
        <v>0</v>
      </c>
      <c r="K16" s="390">
        <f t="shared" si="2"/>
        <v>0</v>
      </c>
      <c r="L16" s="390">
        <f>M16+N16</f>
        <v>12459461</v>
      </c>
      <c r="M16" s="390">
        <f t="shared" si="3"/>
        <v>0</v>
      </c>
      <c r="N16" s="390">
        <f t="shared" si="3"/>
        <v>12459461</v>
      </c>
    </row>
    <row r="17" spans="1:14" s="362" customFormat="1" ht="15" customHeight="1">
      <c r="A17" s="1226"/>
      <c r="B17" s="1227"/>
      <c r="C17" s="1227"/>
      <c r="D17" s="1227"/>
      <c r="E17" s="1227"/>
      <c r="F17" s="1227"/>
      <c r="G17" s="364" t="s">
        <v>15</v>
      </c>
      <c r="H17" s="390">
        <f>I17+L17</f>
        <v>96500000</v>
      </c>
      <c r="I17" s="391">
        <f>J17+K17</f>
        <v>0</v>
      </c>
      <c r="J17" s="390">
        <f t="shared" si="2"/>
        <v>0</v>
      </c>
      <c r="K17" s="390">
        <f t="shared" si="2"/>
        <v>0</v>
      </c>
      <c r="L17" s="390">
        <f>M17+N17</f>
        <v>96500000</v>
      </c>
      <c r="M17" s="390">
        <f t="shared" si="3"/>
        <v>0</v>
      </c>
      <c r="N17" s="390">
        <f t="shared" si="3"/>
        <v>96500000</v>
      </c>
    </row>
    <row r="18" spans="1:14" s="355" customFormat="1" ht="5.25" customHeight="1">
      <c r="A18" s="387"/>
      <c r="B18" s="386"/>
      <c r="C18" s="386"/>
      <c r="D18" s="386"/>
      <c r="E18" s="385"/>
      <c r="F18" s="385"/>
      <c r="G18" s="385"/>
      <c r="H18" s="384"/>
      <c r="I18" s="383"/>
      <c r="J18" s="383"/>
      <c r="K18" s="383"/>
      <c r="L18" s="383"/>
      <c r="M18" s="383"/>
      <c r="N18" s="382"/>
    </row>
    <row r="19" spans="1:14" s="389" customFormat="1" ht="15.6" customHeight="1">
      <c r="A19" s="1144" t="s">
        <v>19</v>
      </c>
      <c r="B19" s="1145"/>
      <c r="C19" s="1144" t="s">
        <v>106</v>
      </c>
      <c r="D19" s="1145"/>
      <c r="E19" s="1124" t="s">
        <v>779</v>
      </c>
      <c r="F19" s="1146"/>
      <c r="G19" s="317" t="s">
        <v>13</v>
      </c>
      <c r="H19" s="316">
        <f t="shared" ref="H19:H54" si="4">I19+L19</f>
        <v>84040539</v>
      </c>
      <c r="I19" s="315">
        <f t="shared" ref="I19:I54" si="5">J19+K19</f>
        <v>0</v>
      </c>
      <c r="J19" s="315">
        <v>0</v>
      </c>
      <c r="K19" s="315">
        <v>0</v>
      </c>
      <c r="L19" s="315">
        <f t="shared" ref="L19:L54" si="6">M19+N19</f>
        <v>84040539</v>
      </c>
      <c r="M19" s="315">
        <v>0</v>
      </c>
      <c r="N19" s="315">
        <v>84040539</v>
      </c>
    </row>
    <row r="20" spans="1:14" s="389" customFormat="1" ht="15.6" customHeight="1">
      <c r="A20" s="1130"/>
      <c r="B20" s="1131"/>
      <c r="C20" s="1130"/>
      <c r="D20" s="1131"/>
      <c r="E20" s="1126"/>
      <c r="F20" s="1147"/>
      <c r="G20" s="317" t="s">
        <v>14</v>
      </c>
      <c r="H20" s="316">
        <f t="shared" si="4"/>
        <v>-84040539</v>
      </c>
      <c r="I20" s="315">
        <f t="shared" si="5"/>
        <v>0</v>
      </c>
      <c r="J20" s="315">
        <v>0</v>
      </c>
      <c r="K20" s="315">
        <v>0</v>
      </c>
      <c r="L20" s="315">
        <f t="shared" si="6"/>
        <v>-84040539</v>
      </c>
      <c r="M20" s="315">
        <v>0</v>
      </c>
      <c r="N20" s="315">
        <v>-84040539</v>
      </c>
    </row>
    <row r="21" spans="1:14" s="389" customFormat="1" ht="15.6" customHeight="1">
      <c r="A21" s="1130"/>
      <c r="B21" s="1131"/>
      <c r="C21" s="1130"/>
      <c r="D21" s="1131"/>
      <c r="E21" s="1128"/>
      <c r="F21" s="1148"/>
      <c r="G21" s="317" t="s">
        <v>15</v>
      </c>
      <c r="H21" s="316">
        <f t="shared" si="4"/>
        <v>0</v>
      </c>
      <c r="I21" s="315">
        <f t="shared" si="5"/>
        <v>0</v>
      </c>
      <c r="J21" s="315">
        <f>J19+J20</f>
        <v>0</v>
      </c>
      <c r="K21" s="315">
        <f>K19+K20</f>
        <v>0</v>
      </c>
      <c r="L21" s="315">
        <f t="shared" si="6"/>
        <v>0</v>
      </c>
      <c r="M21" s="315">
        <f>M19+M20</f>
        <v>0</v>
      </c>
      <c r="N21" s="315">
        <f>N19+N20</f>
        <v>0</v>
      </c>
    </row>
    <row r="22" spans="1:14" s="389" customFormat="1" ht="15.6" customHeight="1">
      <c r="A22" s="1130"/>
      <c r="B22" s="1131"/>
      <c r="C22" s="1130"/>
      <c r="D22" s="1131"/>
      <c r="E22" s="1124" t="s">
        <v>778</v>
      </c>
      <c r="F22" s="1146"/>
      <c r="G22" s="317" t="s">
        <v>13</v>
      </c>
      <c r="H22" s="316">
        <f t="shared" si="4"/>
        <v>0</v>
      </c>
      <c r="I22" s="315">
        <f t="shared" si="5"/>
        <v>0</v>
      </c>
      <c r="J22" s="315">
        <v>0</v>
      </c>
      <c r="K22" s="315">
        <v>0</v>
      </c>
      <c r="L22" s="315">
        <f t="shared" si="6"/>
        <v>0</v>
      </c>
      <c r="M22" s="315">
        <v>0</v>
      </c>
      <c r="N22" s="315">
        <v>0</v>
      </c>
    </row>
    <row r="23" spans="1:14" s="389" customFormat="1" ht="15.6" customHeight="1">
      <c r="A23" s="1130"/>
      <c r="B23" s="1131"/>
      <c r="C23" s="1130"/>
      <c r="D23" s="1131"/>
      <c r="E23" s="1126"/>
      <c r="F23" s="1147"/>
      <c r="G23" s="317" t="s">
        <v>14</v>
      </c>
      <c r="H23" s="316">
        <f t="shared" si="4"/>
        <v>90739000</v>
      </c>
      <c r="I23" s="315">
        <f t="shared" si="5"/>
        <v>0</v>
      </c>
      <c r="J23" s="315">
        <v>0</v>
      </c>
      <c r="K23" s="315">
        <v>0</v>
      </c>
      <c r="L23" s="315">
        <f t="shared" si="6"/>
        <v>90739000</v>
      </c>
      <c r="M23" s="315">
        <v>0</v>
      </c>
      <c r="N23" s="315">
        <v>90739000</v>
      </c>
    </row>
    <row r="24" spans="1:14" s="389" customFormat="1" ht="15.6" customHeight="1">
      <c r="A24" s="1130"/>
      <c r="B24" s="1131"/>
      <c r="C24" s="1130"/>
      <c r="D24" s="1131"/>
      <c r="E24" s="1128"/>
      <c r="F24" s="1148"/>
      <c r="G24" s="317" t="s">
        <v>15</v>
      </c>
      <c r="H24" s="316">
        <f t="shared" si="4"/>
        <v>90739000</v>
      </c>
      <c r="I24" s="315">
        <f t="shared" si="5"/>
        <v>0</v>
      </c>
      <c r="J24" s="315">
        <f>J22+J23</f>
        <v>0</v>
      </c>
      <c r="K24" s="315">
        <f>K22+K23</f>
        <v>0</v>
      </c>
      <c r="L24" s="315">
        <f t="shared" si="6"/>
        <v>90739000</v>
      </c>
      <c r="M24" s="315">
        <f>M22+M23</f>
        <v>0</v>
      </c>
      <c r="N24" s="315">
        <f>N22+N23</f>
        <v>90739000</v>
      </c>
    </row>
    <row r="25" spans="1:14" s="389" customFormat="1" ht="15.6" customHeight="1">
      <c r="A25" s="1130"/>
      <c r="B25" s="1131"/>
      <c r="C25" s="1130"/>
      <c r="D25" s="1131"/>
      <c r="E25" s="1124" t="s">
        <v>777</v>
      </c>
      <c r="F25" s="1146"/>
      <c r="G25" s="317" t="s">
        <v>13</v>
      </c>
      <c r="H25" s="316">
        <f t="shared" si="4"/>
        <v>0</v>
      </c>
      <c r="I25" s="315">
        <f t="shared" si="5"/>
        <v>0</v>
      </c>
      <c r="J25" s="315">
        <v>0</v>
      </c>
      <c r="K25" s="315">
        <v>0</v>
      </c>
      <c r="L25" s="315">
        <f t="shared" si="6"/>
        <v>0</v>
      </c>
      <c r="M25" s="315">
        <v>0</v>
      </c>
      <c r="N25" s="315">
        <v>0</v>
      </c>
    </row>
    <row r="26" spans="1:14" s="389" customFormat="1" ht="15.6" customHeight="1">
      <c r="A26" s="1130"/>
      <c r="B26" s="1131"/>
      <c r="C26" s="1130"/>
      <c r="D26" s="1131"/>
      <c r="E26" s="1126"/>
      <c r="F26" s="1147"/>
      <c r="G26" s="317" t="s">
        <v>14</v>
      </c>
      <c r="H26" s="316">
        <f t="shared" si="4"/>
        <v>1875000</v>
      </c>
      <c r="I26" s="315">
        <f t="shared" si="5"/>
        <v>0</v>
      </c>
      <c r="J26" s="315">
        <v>0</v>
      </c>
      <c r="K26" s="315">
        <v>0</v>
      </c>
      <c r="L26" s="315">
        <f t="shared" si="6"/>
        <v>1875000</v>
      </c>
      <c r="M26" s="315">
        <v>0</v>
      </c>
      <c r="N26" s="315">
        <v>1875000</v>
      </c>
    </row>
    <row r="27" spans="1:14" s="389" customFormat="1" ht="15.6" customHeight="1">
      <c r="A27" s="1130"/>
      <c r="B27" s="1131"/>
      <c r="C27" s="1130"/>
      <c r="D27" s="1131"/>
      <c r="E27" s="1128"/>
      <c r="F27" s="1148"/>
      <c r="G27" s="317" t="s">
        <v>15</v>
      </c>
      <c r="H27" s="316">
        <f t="shared" si="4"/>
        <v>1875000</v>
      </c>
      <c r="I27" s="315">
        <f t="shared" si="5"/>
        <v>0</v>
      </c>
      <c r="J27" s="315">
        <f>J25+J26</f>
        <v>0</v>
      </c>
      <c r="K27" s="315">
        <f>K25+K26</f>
        <v>0</v>
      </c>
      <c r="L27" s="315">
        <f t="shared" si="6"/>
        <v>1875000</v>
      </c>
      <c r="M27" s="315">
        <f>M25+M26</f>
        <v>0</v>
      </c>
      <c r="N27" s="315">
        <f>N25+N26</f>
        <v>1875000</v>
      </c>
    </row>
    <row r="28" spans="1:14" s="389" customFormat="1" ht="15.6" customHeight="1">
      <c r="A28" s="1130"/>
      <c r="B28" s="1131"/>
      <c r="C28" s="1130"/>
      <c r="D28" s="1131"/>
      <c r="E28" s="1124" t="s">
        <v>776</v>
      </c>
      <c r="F28" s="1146"/>
      <c r="G28" s="317" t="s">
        <v>13</v>
      </c>
      <c r="H28" s="316">
        <f t="shared" si="4"/>
        <v>0</v>
      </c>
      <c r="I28" s="315">
        <f t="shared" si="5"/>
        <v>0</v>
      </c>
      <c r="J28" s="315">
        <v>0</v>
      </c>
      <c r="K28" s="315">
        <v>0</v>
      </c>
      <c r="L28" s="315">
        <f t="shared" si="6"/>
        <v>0</v>
      </c>
      <c r="M28" s="315">
        <v>0</v>
      </c>
      <c r="N28" s="315">
        <v>0</v>
      </c>
    </row>
    <row r="29" spans="1:14" s="389" customFormat="1" ht="15.6" customHeight="1">
      <c r="A29" s="1130"/>
      <c r="B29" s="1131"/>
      <c r="C29" s="1130"/>
      <c r="D29" s="1131"/>
      <c r="E29" s="1126"/>
      <c r="F29" s="1147"/>
      <c r="G29" s="317" t="s">
        <v>14</v>
      </c>
      <c r="H29" s="316">
        <f t="shared" si="4"/>
        <v>819000</v>
      </c>
      <c r="I29" s="315">
        <f t="shared" si="5"/>
        <v>0</v>
      </c>
      <c r="J29" s="315">
        <v>0</v>
      </c>
      <c r="K29" s="315">
        <v>0</v>
      </c>
      <c r="L29" s="315">
        <f t="shared" si="6"/>
        <v>819000</v>
      </c>
      <c r="M29" s="315">
        <v>0</v>
      </c>
      <c r="N29" s="315">
        <v>819000</v>
      </c>
    </row>
    <row r="30" spans="1:14" s="389" customFormat="1" ht="15.6" customHeight="1">
      <c r="A30" s="1130"/>
      <c r="B30" s="1131"/>
      <c r="C30" s="1130"/>
      <c r="D30" s="1131"/>
      <c r="E30" s="1128"/>
      <c r="F30" s="1148"/>
      <c r="G30" s="317" t="s">
        <v>15</v>
      </c>
      <c r="H30" s="316">
        <f t="shared" si="4"/>
        <v>819000</v>
      </c>
      <c r="I30" s="315">
        <f t="shared" si="5"/>
        <v>0</v>
      </c>
      <c r="J30" s="315">
        <f>J28+J29</f>
        <v>0</v>
      </c>
      <c r="K30" s="315">
        <f>K28+K29</f>
        <v>0</v>
      </c>
      <c r="L30" s="315">
        <f t="shared" si="6"/>
        <v>819000</v>
      </c>
      <c r="M30" s="315">
        <f>M28+M29</f>
        <v>0</v>
      </c>
      <c r="N30" s="315">
        <f>N28+N29</f>
        <v>819000</v>
      </c>
    </row>
    <row r="31" spans="1:14" s="389" customFormat="1" ht="15.6" customHeight="1">
      <c r="A31" s="1130"/>
      <c r="B31" s="1131"/>
      <c r="C31" s="1130"/>
      <c r="D31" s="1131"/>
      <c r="E31" s="1124" t="s">
        <v>775</v>
      </c>
      <c r="F31" s="1146"/>
      <c r="G31" s="317" t="s">
        <v>13</v>
      </c>
      <c r="H31" s="316">
        <f t="shared" si="4"/>
        <v>0</v>
      </c>
      <c r="I31" s="315">
        <f t="shared" si="5"/>
        <v>0</v>
      </c>
      <c r="J31" s="315">
        <v>0</v>
      </c>
      <c r="K31" s="315">
        <v>0</v>
      </c>
      <c r="L31" s="315">
        <f t="shared" si="6"/>
        <v>0</v>
      </c>
      <c r="M31" s="315">
        <v>0</v>
      </c>
      <c r="N31" s="315">
        <v>0</v>
      </c>
    </row>
    <row r="32" spans="1:14" s="389" customFormat="1" ht="15.6" customHeight="1">
      <c r="A32" s="1130"/>
      <c r="B32" s="1131"/>
      <c r="C32" s="1130"/>
      <c r="D32" s="1131"/>
      <c r="E32" s="1126"/>
      <c r="F32" s="1147"/>
      <c r="G32" s="317" t="s">
        <v>14</v>
      </c>
      <c r="H32" s="316">
        <f t="shared" si="4"/>
        <v>662000</v>
      </c>
      <c r="I32" s="315">
        <f t="shared" si="5"/>
        <v>0</v>
      </c>
      <c r="J32" s="315">
        <v>0</v>
      </c>
      <c r="K32" s="315">
        <v>0</v>
      </c>
      <c r="L32" s="315">
        <f t="shared" si="6"/>
        <v>662000</v>
      </c>
      <c r="M32" s="315">
        <v>0</v>
      </c>
      <c r="N32" s="315">
        <v>662000</v>
      </c>
    </row>
    <row r="33" spans="1:14" s="389" customFormat="1" ht="15.6" customHeight="1">
      <c r="A33" s="1130"/>
      <c r="B33" s="1131"/>
      <c r="C33" s="1130"/>
      <c r="D33" s="1131"/>
      <c r="E33" s="1128"/>
      <c r="F33" s="1148"/>
      <c r="G33" s="317" t="s">
        <v>15</v>
      </c>
      <c r="H33" s="316">
        <f t="shared" si="4"/>
        <v>662000</v>
      </c>
      <c r="I33" s="315">
        <f t="shared" si="5"/>
        <v>0</v>
      </c>
      <c r="J33" s="315">
        <f>J31+J32</f>
        <v>0</v>
      </c>
      <c r="K33" s="315">
        <f>K31+K32</f>
        <v>0</v>
      </c>
      <c r="L33" s="315">
        <f t="shared" si="6"/>
        <v>662000</v>
      </c>
      <c r="M33" s="315">
        <f>M31+M32</f>
        <v>0</v>
      </c>
      <c r="N33" s="315">
        <f>N31+N32</f>
        <v>662000</v>
      </c>
    </row>
    <row r="34" spans="1:14" s="389" customFormat="1" ht="15.6" customHeight="1">
      <c r="A34" s="1130"/>
      <c r="B34" s="1131"/>
      <c r="C34" s="1130"/>
      <c r="D34" s="1131"/>
      <c r="E34" s="1124" t="s">
        <v>774</v>
      </c>
      <c r="F34" s="1146"/>
      <c r="G34" s="317" t="s">
        <v>13</v>
      </c>
      <c r="H34" s="316">
        <f t="shared" si="4"/>
        <v>0</v>
      </c>
      <c r="I34" s="315">
        <f t="shared" si="5"/>
        <v>0</v>
      </c>
      <c r="J34" s="315">
        <v>0</v>
      </c>
      <c r="K34" s="315">
        <v>0</v>
      </c>
      <c r="L34" s="315">
        <f t="shared" si="6"/>
        <v>0</v>
      </c>
      <c r="M34" s="315">
        <v>0</v>
      </c>
      <c r="N34" s="315">
        <v>0</v>
      </c>
    </row>
    <row r="35" spans="1:14" s="389" customFormat="1" ht="15.6" customHeight="1">
      <c r="A35" s="1130"/>
      <c r="B35" s="1131"/>
      <c r="C35" s="1130"/>
      <c r="D35" s="1131"/>
      <c r="E35" s="1126"/>
      <c r="F35" s="1147"/>
      <c r="G35" s="317" t="s">
        <v>14</v>
      </c>
      <c r="H35" s="316">
        <f t="shared" si="4"/>
        <v>633000</v>
      </c>
      <c r="I35" s="315">
        <f t="shared" si="5"/>
        <v>0</v>
      </c>
      <c r="J35" s="315">
        <v>0</v>
      </c>
      <c r="K35" s="315">
        <v>0</v>
      </c>
      <c r="L35" s="315">
        <f t="shared" si="6"/>
        <v>633000</v>
      </c>
      <c r="M35" s="315">
        <v>0</v>
      </c>
      <c r="N35" s="315">
        <v>633000</v>
      </c>
    </row>
    <row r="36" spans="1:14" s="389" customFormat="1" ht="15.6" customHeight="1">
      <c r="A36" s="1130"/>
      <c r="B36" s="1131"/>
      <c r="C36" s="1130"/>
      <c r="D36" s="1131"/>
      <c r="E36" s="1128"/>
      <c r="F36" s="1148"/>
      <c r="G36" s="317" t="s">
        <v>15</v>
      </c>
      <c r="H36" s="316">
        <f t="shared" si="4"/>
        <v>633000</v>
      </c>
      <c r="I36" s="315">
        <f t="shared" si="5"/>
        <v>0</v>
      </c>
      <c r="J36" s="315">
        <f>J34+J35</f>
        <v>0</v>
      </c>
      <c r="K36" s="315">
        <f>K34+K35</f>
        <v>0</v>
      </c>
      <c r="L36" s="315">
        <f t="shared" si="6"/>
        <v>633000</v>
      </c>
      <c r="M36" s="315">
        <f>M34+M35</f>
        <v>0</v>
      </c>
      <c r="N36" s="315">
        <f>N34+N35</f>
        <v>633000</v>
      </c>
    </row>
    <row r="37" spans="1:14" s="389" customFormat="1" ht="15.6" customHeight="1">
      <c r="A37" s="1130"/>
      <c r="B37" s="1131"/>
      <c r="C37" s="1130"/>
      <c r="D37" s="1131"/>
      <c r="E37" s="1124" t="s">
        <v>773</v>
      </c>
      <c r="F37" s="1146"/>
      <c r="G37" s="317" t="s">
        <v>13</v>
      </c>
      <c r="H37" s="316">
        <f t="shared" si="4"/>
        <v>0</v>
      </c>
      <c r="I37" s="315">
        <f t="shared" si="5"/>
        <v>0</v>
      </c>
      <c r="J37" s="315">
        <v>0</v>
      </c>
      <c r="K37" s="315">
        <v>0</v>
      </c>
      <c r="L37" s="315">
        <f t="shared" si="6"/>
        <v>0</v>
      </c>
      <c r="M37" s="315">
        <v>0</v>
      </c>
      <c r="N37" s="315">
        <v>0</v>
      </c>
    </row>
    <row r="38" spans="1:14" s="389" customFormat="1" ht="15.6" customHeight="1">
      <c r="A38" s="1130"/>
      <c r="B38" s="1131"/>
      <c r="C38" s="1130"/>
      <c r="D38" s="1131"/>
      <c r="E38" s="1126"/>
      <c r="F38" s="1147"/>
      <c r="G38" s="317" t="s">
        <v>14</v>
      </c>
      <c r="H38" s="316">
        <f t="shared" si="4"/>
        <v>468000</v>
      </c>
      <c r="I38" s="315">
        <f t="shared" si="5"/>
        <v>0</v>
      </c>
      <c r="J38" s="315">
        <v>0</v>
      </c>
      <c r="K38" s="315">
        <v>0</v>
      </c>
      <c r="L38" s="315">
        <f t="shared" si="6"/>
        <v>468000</v>
      </c>
      <c r="M38" s="315">
        <v>0</v>
      </c>
      <c r="N38" s="315">
        <v>468000</v>
      </c>
    </row>
    <row r="39" spans="1:14" s="389" customFormat="1" ht="15.6" customHeight="1">
      <c r="A39" s="1130"/>
      <c r="B39" s="1131"/>
      <c r="C39" s="1130"/>
      <c r="D39" s="1131"/>
      <c r="E39" s="1128"/>
      <c r="F39" s="1148"/>
      <c r="G39" s="317" t="s">
        <v>15</v>
      </c>
      <c r="H39" s="316">
        <f t="shared" si="4"/>
        <v>468000</v>
      </c>
      <c r="I39" s="315">
        <f t="shared" si="5"/>
        <v>0</v>
      </c>
      <c r="J39" s="315">
        <f>J37+J38</f>
        <v>0</v>
      </c>
      <c r="K39" s="315">
        <f>K37+K38</f>
        <v>0</v>
      </c>
      <c r="L39" s="315">
        <f t="shared" si="6"/>
        <v>468000</v>
      </c>
      <c r="M39" s="315">
        <f>M37+M38</f>
        <v>0</v>
      </c>
      <c r="N39" s="315">
        <f>N37+N38</f>
        <v>468000</v>
      </c>
    </row>
    <row r="40" spans="1:14" s="389" customFormat="1" ht="15.6" customHeight="1">
      <c r="A40" s="1130"/>
      <c r="B40" s="1131"/>
      <c r="C40" s="1130"/>
      <c r="D40" s="1131"/>
      <c r="E40" s="1124" t="s">
        <v>772</v>
      </c>
      <c r="F40" s="1146"/>
      <c r="G40" s="317" t="s">
        <v>13</v>
      </c>
      <c r="H40" s="316">
        <f t="shared" si="4"/>
        <v>0</v>
      </c>
      <c r="I40" s="315">
        <f t="shared" si="5"/>
        <v>0</v>
      </c>
      <c r="J40" s="315">
        <v>0</v>
      </c>
      <c r="K40" s="315">
        <v>0</v>
      </c>
      <c r="L40" s="315">
        <f t="shared" si="6"/>
        <v>0</v>
      </c>
      <c r="M40" s="315">
        <v>0</v>
      </c>
      <c r="N40" s="315">
        <v>0</v>
      </c>
    </row>
    <row r="41" spans="1:14" s="389" customFormat="1" ht="15.6" customHeight="1">
      <c r="A41" s="1130"/>
      <c r="B41" s="1131"/>
      <c r="C41" s="1130"/>
      <c r="D41" s="1131"/>
      <c r="E41" s="1126"/>
      <c r="F41" s="1147"/>
      <c r="G41" s="317" t="s">
        <v>14</v>
      </c>
      <c r="H41" s="316">
        <f t="shared" si="4"/>
        <v>482000</v>
      </c>
      <c r="I41" s="315">
        <f t="shared" si="5"/>
        <v>0</v>
      </c>
      <c r="J41" s="315">
        <v>0</v>
      </c>
      <c r="K41" s="315">
        <v>0</v>
      </c>
      <c r="L41" s="315">
        <f t="shared" si="6"/>
        <v>482000</v>
      </c>
      <c r="M41" s="315">
        <v>0</v>
      </c>
      <c r="N41" s="315">
        <v>482000</v>
      </c>
    </row>
    <row r="42" spans="1:14" s="389" customFormat="1" ht="15.6" customHeight="1">
      <c r="A42" s="1152"/>
      <c r="B42" s="1155"/>
      <c r="C42" s="1152"/>
      <c r="D42" s="1155"/>
      <c r="E42" s="1128"/>
      <c r="F42" s="1148"/>
      <c r="G42" s="317" t="s">
        <v>15</v>
      </c>
      <c r="H42" s="316">
        <f t="shared" si="4"/>
        <v>482000</v>
      </c>
      <c r="I42" s="315">
        <f t="shared" si="5"/>
        <v>0</v>
      </c>
      <c r="J42" s="315">
        <f>J40+J41</f>
        <v>0</v>
      </c>
      <c r="K42" s="315">
        <f>K40+K41</f>
        <v>0</v>
      </c>
      <c r="L42" s="315">
        <f t="shared" si="6"/>
        <v>482000</v>
      </c>
      <c r="M42" s="315">
        <f>M40+M41</f>
        <v>0</v>
      </c>
      <c r="N42" s="315">
        <f>N40+N41</f>
        <v>482000</v>
      </c>
    </row>
    <row r="43" spans="1:14" s="389" customFormat="1" ht="15.6" customHeight="1">
      <c r="A43" s="1144"/>
      <c r="B43" s="1145"/>
      <c r="C43" s="1144"/>
      <c r="D43" s="1145"/>
      <c r="E43" s="1124" t="s">
        <v>771</v>
      </c>
      <c r="F43" s="1146"/>
      <c r="G43" s="317" t="s">
        <v>13</v>
      </c>
      <c r="H43" s="316">
        <f t="shared" si="4"/>
        <v>0</v>
      </c>
      <c r="I43" s="315">
        <f t="shared" si="5"/>
        <v>0</v>
      </c>
      <c r="J43" s="315">
        <v>0</v>
      </c>
      <c r="K43" s="315">
        <v>0</v>
      </c>
      <c r="L43" s="315">
        <f t="shared" si="6"/>
        <v>0</v>
      </c>
      <c r="M43" s="315">
        <v>0</v>
      </c>
      <c r="N43" s="315">
        <v>0</v>
      </c>
    </row>
    <row r="44" spans="1:14" s="389" customFormat="1" ht="15.6" customHeight="1">
      <c r="A44" s="1130"/>
      <c r="B44" s="1131"/>
      <c r="C44" s="1130"/>
      <c r="D44" s="1131"/>
      <c r="E44" s="1126"/>
      <c r="F44" s="1147"/>
      <c r="G44" s="317" t="s">
        <v>14</v>
      </c>
      <c r="H44" s="316">
        <f t="shared" si="4"/>
        <v>468000</v>
      </c>
      <c r="I44" s="315">
        <f t="shared" si="5"/>
        <v>0</v>
      </c>
      <c r="J44" s="315">
        <v>0</v>
      </c>
      <c r="K44" s="315">
        <v>0</v>
      </c>
      <c r="L44" s="315">
        <f t="shared" si="6"/>
        <v>468000</v>
      </c>
      <c r="M44" s="315">
        <v>0</v>
      </c>
      <c r="N44" s="315">
        <v>468000</v>
      </c>
    </row>
    <row r="45" spans="1:14" s="389" customFormat="1" ht="15.6" customHeight="1">
      <c r="A45" s="1130"/>
      <c r="B45" s="1131"/>
      <c r="C45" s="1130"/>
      <c r="D45" s="1131"/>
      <c r="E45" s="1128"/>
      <c r="F45" s="1148"/>
      <c r="G45" s="317" t="s">
        <v>15</v>
      </c>
      <c r="H45" s="316">
        <f t="shared" si="4"/>
        <v>468000</v>
      </c>
      <c r="I45" s="315">
        <f t="shared" si="5"/>
        <v>0</v>
      </c>
      <c r="J45" s="315">
        <f>J43+J44</f>
        <v>0</v>
      </c>
      <c r="K45" s="315">
        <f>K43+K44</f>
        <v>0</v>
      </c>
      <c r="L45" s="315">
        <f t="shared" si="6"/>
        <v>468000</v>
      </c>
      <c r="M45" s="315">
        <f>M43+M44</f>
        <v>0</v>
      </c>
      <c r="N45" s="315">
        <f>N43+N44</f>
        <v>468000</v>
      </c>
    </row>
    <row r="46" spans="1:14" s="389" customFormat="1" ht="15.6" customHeight="1">
      <c r="A46" s="1130"/>
      <c r="B46" s="1131"/>
      <c r="C46" s="1130"/>
      <c r="D46" s="1131"/>
      <c r="E46" s="1124" t="s">
        <v>770</v>
      </c>
      <c r="F46" s="1146"/>
      <c r="G46" s="317" t="s">
        <v>13</v>
      </c>
      <c r="H46" s="316">
        <f t="shared" si="4"/>
        <v>0</v>
      </c>
      <c r="I46" s="315">
        <f t="shared" si="5"/>
        <v>0</v>
      </c>
      <c r="J46" s="315">
        <v>0</v>
      </c>
      <c r="K46" s="315">
        <v>0</v>
      </c>
      <c r="L46" s="315">
        <f t="shared" si="6"/>
        <v>0</v>
      </c>
      <c r="M46" s="315">
        <v>0</v>
      </c>
      <c r="N46" s="315">
        <v>0</v>
      </c>
    </row>
    <row r="47" spans="1:14" s="389" customFormat="1" ht="15.6" customHeight="1">
      <c r="A47" s="1130"/>
      <c r="B47" s="1131"/>
      <c r="C47" s="1130"/>
      <c r="D47" s="1131"/>
      <c r="E47" s="1126"/>
      <c r="F47" s="1147"/>
      <c r="G47" s="317" t="s">
        <v>14</v>
      </c>
      <c r="H47" s="316">
        <f t="shared" si="4"/>
        <v>221000</v>
      </c>
      <c r="I47" s="315">
        <f t="shared" si="5"/>
        <v>0</v>
      </c>
      <c r="J47" s="315">
        <v>0</v>
      </c>
      <c r="K47" s="315">
        <v>0</v>
      </c>
      <c r="L47" s="315">
        <f t="shared" si="6"/>
        <v>221000</v>
      </c>
      <c r="M47" s="315">
        <v>0</v>
      </c>
      <c r="N47" s="315">
        <v>221000</v>
      </c>
    </row>
    <row r="48" spans="1:14" s="389" customFormat="1" ht="15.6" customHeight="1">
      <c r="A48" s="1130"/>
      <c r="B48" s="1131"/>
      <c r="C48" s="1130"/>
      <c r="D48" s="1131"/>
      <c r="E48" s="1128"/>
      <c r="F48" s="1148"/>
      <c r="G48" s="317" t="s">
        <v>15</v>
      </c>
      <c r="H48" s="316">
        <f t="shared" si="4"/>
        <v>221000</v>
      </c>
      <c r="I48" s="315">
        <f t="shared" si="5"/>
        <v>0</v>
      </c>
      <c r="J48" s="315">
        <f>J46+J47</f>
        <v>0</v>
      </c>
      <c r="K48" s="315">
        <f>K46+K47</f>
        <v>0</v>
      </c>
      <c r="L48" s="315">
        <f t="shared" si="6"/>
        <v>221000</v>
      </c>
      <c r="M48" s="315">
        <f>M46+M47</f>
        <v>0</v>
      </c>
      <c r="N48" s="315">
        <f>N46+N47</f>
        <v>221000</v>
      </c>
    </row>
    <row r="49" spans="1:14" s="389" customFormat="1" ht="15.6" customHeight="1">
      <c r="A49" s="1130"/>
      <c r="B49" s="1131"/>
      <c r="C49" s="1130"/>
      <c r="D49" s="1131"/>
      <c r="E49" s="1124" t="s">
        <v>769</v>
      </c>
      <c r="F49" s="1146"/>
      <c r="G49" s="317" t="s">
        <v>13</v>
      </c>
      <c r="H49" s="316">
        <f t="shared" si="4"/>
        <v>0</v>
      </c>
      <c r="I49" s="315">
        <f t="shared" si="5"/>
        <v>0</v>
      </c>
      <c r="J49" s="315">
        <v>0</v>
      </c>
      <c r="K49" s="315">
        <v>0</v>
      </c>
      <c r="L49" s="315">
        <f t="shared" si="6"/>
        <v>0</v>
      </c>
      <c r="M49" s="315">
        <v>0</v>
      </c>
      <c r="N49" s="315">
        <v>0</v>
      </c>
    </row>
    <row r="50" spans="1:14" s="389" customFormat="1" ht="15.6" customHeight="1">
      <c r="A50" s="1130"/>
      <c r="B50" s="1131"/>
      <c r="C50" s="1130"/>
      <c r="D50" s="1131"/>
      <c r="E50" s="1126"/>
      <c r="F50" s="1147"/>
      <c r="G50" s="317" t="s">
        <v>14</v>
      </c>
      <c r="H50" s="316">
        <f t="shared" si="4"/>
        <v>89000</v>
      </c>
      <c r="I50" s="315">
        <f t="shared" si="5"/>
        <v>0</v>
      </c>
      <c r="J50" s="315">
        <v>0</v>
      </c>
      <c r="K50" s="315">
        <v>0</v>
      </c>
      <c r="L50" s="315">
        <f t="shared" si="6"/>
        <v>89000</v>
      </c>
      <c r="M50" s="315">
        <v>0</v>
      </c>
      <c r="N50" s="315">
        <v>89000</v>
      </c>
    </row>
    <row r="51" spans="1:14" s="389" customFormat="1" ht="15.6" customHeight="1">
      <c r="A51" s="1130"/>
      <c r="B51" s="1131"/>
      <c r="C51" s="1130"/>
      <c r="D51" s="1131"/>
      <c r="E51" s="1128"/>
      <c r="F51" s="1148"/>
      <c r="G51" s="317" t="s">
        <v>15</v>
      </c>
      <c r="H51" s="316">
        <f t="shared" si="4"/>
        <v>89000</v>
      </c>
      <c r="I51" s="315">
        <f t="shared" si="5"/>
        <v>0</v>
      </c>
      <c r="J51" s="315">
        <f>J49+J50</f>
        <v>0</v>
      </c>
      <c r="K51" s="315">
        <f>K49+K50</f>
        <v>0</v>
      </c>
      <c r="L51" s="315">
        <f t="shared" si="6"/>
        <v>89000</v>
      </c>
      <c r="M51" s="315">
        <f>M49+M50</f>
        <v>0</v>
      </c>
      <c r="N51" s="315">
        <f>N49+N50</f>
        <v>89000</v>
      </c>
    </row>
    <row r="52" spans="1:14" s="389" customFormat="1" ht="15.6" customHeight="1">
      <c r="A52" s="1130"/>
      <c r="B52" s="1131"/>
      <c r="C52" s="1130"/>
      <c r="D52" s="1131"/>
      <c r="E52" s="1124" t="s">
        <v>768</v>
      </c>
      <c r="F52" s="1146"/>
      <c r="G52" s="317" t="s">
        <v>13</v>
      </c>
      <c r="H52" s="316">
        <f t="shared" si="4"/>
        <v>0</v>
      </c>
      <c r="I52" s="315">
        <f t="shared" si="5"/>
        <v>0</v>
      </c>
      <c r="J52" s="315">
        <v>0</v>
      </c>
      <c r="K52" s="315">
        <v>0</v>
      </c>
      <c r="L52" s="315">
        <f t="shared" si="6"/>
        <v>0</v>
      </c>
      <c r="M52" s="315">
        <v>0</v>
      </c>
      <c r="N52" s="315">
        <v>0</v>
      </c>
    </row>
    <row r="53" spans="1:14" s="389" customFormat="1" ht="15.6" customHeight="1">
      <c r="A53" s="1130"/>
      <c r="B53" s="1131"/>
      <c r="C53" s="1130"/>
      <c r="D53" s="1131"/>
      <c r="E53" s="1126"/>
      <c r="F53" s="1147"/>
      <c r="G53" s="317" t="s">
        <v>14</v>
      </c>
      <c r="H53" s="316">
        <f t="shared" si="4"/>
        <v>44000</v>
      </c>
      <c r="I53" s="315">
        <f t="shared" si="5"/>
        <v>0</v>
      </c>
      <c r="J53" s="315">
        <v>0</v>
      </c>
      <c r="K53" s="315">
        <v>0</v>
      </c>
      <c r="L53" s="315">
        <f t="shared" si="6"/>
        <v>44000</v>
      </c>
      <c r="M53" s="315">
        <v>0</v>
      </c>
      <c r="N53" s="315">
        <v>44000</v>
      </c>
    </row>
    <row r="54" spans="1:14" s="389" customFormat="1" ht="15.6" customHeight="1">
      <c r="A54" s="1130"/>
      <c r="B54" s="1131"/>
      <c r="C54" s="1130"/>
      <c r="D54" s="1131"/>
      <c r="E54" s="1128"/>
      <c r="F54" s="1148"/>
      <c r="G54" s="317" t="s">
        <v>15</v>
      </c>
      <c r="H54" s="316">
        <f t="shared" si="4"/>
        <v>44000</v>
      </c>
      <c r="I54" s="315">
        <f t="shared" si="5"/>
        <v>0</v>
      </c>
      <c r="J54" s="315">
        <f>J52+J53</f>
        <v>0</v>
      </c>
      <c r="K54" s="315">
        <f>K52+K53</f>
        <v>0</v>
      </c>
      <c r="L54" s="315">
        <f t="shared" si="6"/>
        <v>44000</v>
      </c>
      <c r="M54" s="315">
        <f>M52+M53</f>
        <v>0</v>
      </c>
      <c r="N54" s="315">
        <f>N52+N53</f>
        <v>44000</v>
      </c>
    </row>
    <row r="55" spans="1:14" s="355" customFormat="1" ht="5.25" customHeight="1">
      <c r="A55" s="371"/>
      <c r="B55" s="370"/>
      <c r="C55" s="370"/>
      <c r="D55" s="370"/>
      <c r="E55" s="368"/>
      <c r="F55" s="369"/>
      <c r="G55" s="368"/>
      <c r="H55" s="367"/>
      <c r="I55" s="366"/>
      <c r="J55" s="366"/>
      <c r="K55" s="366"/>
      <c r="L55" s="366"/>
      <c r="M55" s="366"/>
      <c r="N55" s="365"/>
    </row>
    <row r="56" spans="1:14" s="362" customFormat="1" ht="15" customHeight="1">
      <c r="A56" s="1222" t="s">
        <v>767</v>
      </c>
      <c r="B56" s="1223"/>
      <c r="C56" s="1223"/>
      <c r="D56" s="1223"/>
      <c r="E56" s="1223"/>
      <c r="F56" s="1223"/>
      <c r="G56" s="364" t="s">
        <v>13</v>
      </c>
      <c r="H56" s="388">
        <f>I56+L56</f>
        <v>87204278</v>
      </c>
      <c r="I56" s="363">
        <f>J56+K56</f>
        <v>87204278</v>
      </c>
      <c r="J56" s="363">
        <f t="shared" ref="J56:K58" si="7">J60</f>
        <v>0</v>
      </c>
      <c r="K56" s="363">
        <f t="shared" si="7"/>
        <v>87204278</v>
      </c>
      <c r="L56" s="363">
        <f>M56+N56</f>
        <v>0</v>
      </c>
      <c r="M56" s="363">
        <f t="shared" ref="M56:N58" si="8">M60</f>
        <v>0</v>
      </c>
      <c r="N56" s="363">
        <f t="shared" si="8"/>
        <v>0</v>
      </c>
    </row>
    <row r="57" spans="1:14" s="362" customFormat="1" ht="15" customHeight="1">
      <c r="A57" s="1224"/>
      <c r="B57" s="1225"/>
      <c r="C57" s="1225"/>
      <c r="D57" s="1225"/>
      <c r="E57" s="1225"/>
      <c r="F57" s="1225"/>
      <c r="G57" s="364" t="s">
        <v>14</v>
      </c>
      <c r="H57" s="388">
        <f>I57+L57</f>
        <v>762642</v>
      </c>
      <c r="I57" s="363">
        <f>J57+K57</f>
        <v>762642</v>
      </c>
      <c r="J57" s="363">
        <f t="shared" si="7"/>
        <v>0</v>
      </c>
      <c r="K57" s="363">
        <f t="shared" si="7"/>
        <v>762642</v>
      </c>
      <c r="L57" s="363">
        <f>M57+N57</f>
        <v>0</v>
      </c>
      <c r="M57" s="363">
        <f t="shared" si="8"/>
        <v>0</v>
      </c>
      <c r="N57" s="363">
        <f t="shared" si="8"/>
        <v>0</v>
      </c>
    </row>
    <row r="58" spans="1:14" s="362" customFormat="1" ht="15" customHeight="1">
      <c r="A58" s="1226"/>
      <c r="B58" s="1227"/>
      <c r="C58" s="1227"/>
      <c r="D58" s="1227"/>
      <c r="E58" s="1227"/>
      <c r="F58" s="1227"/>
      <c r="G58" s="364" t="s">
        <v>15</v>
      </c>
      <c r="H58" s="388">
        <f>I58+L58</f>
        <v>87966920</v>
      </c>
      <c r="I58" s="363">
        <f>J58+K58</f>
        <v>87966920</v>
      </c>
      <c r="J58" s="363">
        <f t="shared" si="7"/>
        <v>0</v>
      </c>
      <c r="K58" s="363">
        <f t="shared" si="7"/>
        <v>87966920</v>
      </c>
      <c r="L58" s="363">
        <f>M58+N58</f>
        <v>0</v>
      </c>
      <c r="M58" s="363">
        <f t="shared" si="8"/>
        <v>0</v>
      </c>
      <c r="N58" s="363">
        <f t="shared" si="8"/>
        <v>0</v>
      </c>
    </row>
    <row r="59" spans="1:14" s="355" customFormat="1" ht="5.25" customHeight="1">
      <c r="A59" s="387"/>
      <c r="B59" s="386"/>
      <c r="C59" s="386"/>
      <c r="D59" s="386"/>
      <c r="E59" s="385"/>
      <c r="F59" s="385"/>
      <c r="G59" s="385"/>
      <c r="H59" s="384"/>
      <c r="I59" s="383"/>
      <c r="J59" s="383"/>
      <c r="K59" s="383"/>
      <c r="L59" s="383"/>
      <c r="M59" s="383"/>
      <c r="N59" s="382"/>
    </row>
    <row r="60" spans="1:14" s="380" customFormat="1" ht="15" customHeight="1">
      <c r="A60" s="1202" t="s">
        <v>766</v>
      </c>
      <c r="B60" s="1203"/>
      <c r="C60" s="1203"/>
      <c r="D60" s="1203"/>
      <c r="E60" s="1203"/>
      <c r="F60" s="1203"/>
      <c r="G60" s="341" t="s">
        <v>13</v>
      </c>
      <c r="H60" s="381">
        <f>I60+L60</f>
        <v>87204278</v>
      </c>
      <c r="I60" s="340">
        <f>J60+K60</f>
        <v>87204278</v>
      </c>
      <c r="J60" s="340">
        <f t="shared" ref="J60:K62" si="9">J64+J70+J76+J82+J91+J97+J103+J109+J124+J130+J136+J142+J148+J160+J172+J184+J199</f>
        <v>0</v>
      </c>
      <c r="K60" s="340">
        <f t="shared" si="9"/>
        <v>87204278</v>
      </c>
      <c r="L60" s="340">
        <f>M60+N60</f>
        <v>0</v>
      </c>
      <c r="M60" s="340">
        <f t="shared" ref="M60:N62" si="10">M64+M70+M76+M82+M91+M97+M103+M109+M124+M130+M136+M142+M148+M160+M172+M184+M199</f>
        <v>0</v>
      </c>
      <c r="N60" s="340">
        <f t="shared" si="10"/>
        <v>0</v>
      </c>
    </row>
    <row r="61" spans="1:14" s="380" customFormat="1" ht="15" customHeight="1">
      <c r="A61" s="1204"/>
      <c r="B61" s="1205"/>
      <c r="C61" s="1205"/>
      <c r="D61" s="1205"/>
      <c r="E61" s="1205"/>
      <c r="F61" s="1205"/>
      <c r="G61" s="341" t="s">
        <v>14</v>
      </c>
      <c r="H61" s="381">
        <f>I61+L61</f>
        <v>762642</v>
      </c>
      <c r="I61" s="340">
        <f>J61+K61</f>
        <v>762642</v>
      </c>
      <c r="J61" s="340">
        <f t="shared" si="9"/>
        <v>0</v>
      </c>
      <c r="K61" s="340">
        <f t="shared" si="9"/>
        <v>762642</v>
      </c>
      <c r="L61" s="340">
        <f>M61+N61</f>
        <v>0</v>
      </c>
      <c r="M61" s="340">
        <f t="shared" si="10"/>
        <v>0</v>
      </c>
      <c r="N61" s="340">
        <f t="shared" si="10"/>
        <v>0</v>
      </c>
    </row>
    <row r="62" spans="1:14" s="380" customFormat="1" ht="15" customHeight="1">
      <c r="A62" s="1206"/>
      <c r="B62" s="1207"/>
      <c r="C62" s="1207"/>
      <c r="D62" s="1207"/>
      <c r="E62" s="1207"/>
      <c r="F62" s="1207"/>
      <c r="G62" s="341" t="s">
        <v>15</v>
      </c>
      <c r="H62" s="381">
        <f>I62+L62</f>
        <v>87966920</v>
      </c>
      <c r="I62" s="340">
        <f>J62+K62</f>
        <v>87966920</v>
      </c>
      <c r="J62" s="340">
        <f t="shared" si="9"/>
        <v>0</v>
      </c>
      <c r="K62" s="340">
        <f t="shared" si="9"/>
        <v>87966920</v>
      </c>
      <c r="L62" s="340">
        <f>M62+N62</f>
        <v>0</v>
      </c>
      <c r="M62" s="340">
        <f t="shared" si="10"/>
        <v>0</v>
      </c>
      <c r="N62" s="340">
        <f t="shared" si="10"/>
        <v>0</v>
      </c>
    </row>
    <row r="63" spans="1:14" s="307" customFormat="1" ht="5.25" customHeight="1">
      <c r="A63" s="807"/>
      <c r="B63" s="808"/>
      <c r="C63" s="808"/>
      <c r="D63" s="808"/>
      <c r="E63" s="808"/>
      <c r="F63" s="808"/>
      <c r="G63" s="336"/>
      <c r="H63" s="335"/>
      <c r="I63" s="334"/>
      <c r="J63" s="334"/>
      <c r="K63" s="334"/>
      <c r="L63" s="334"/>
      <c r="M63" s="334"/>
      <c r="N63" s="333"/>
    </row>
    <row r="64" spans="1:14" s="372" customFormat="1" ht="15" hidden="1" customHeight="1">
      <c r="A64" s="1215" t="s">
        <v>765</v>
      </c>
      <c r="B64" s="1275"/>
      <c r="C64" s="1275"/>
      <c r="D64" s="1275"/>
      <c r="E64" s="1275"/>
      <c r="F64" s="1276"/>
      <c r="G64" s="375" t="s">
        <v>13</v>
      </c>
      <c r="H64" s="374">
        <f t="shared" ref="H64:H95" si="11">I64+L64</f>
        <v>7410000</v>
      </c>
      <c r="I64" s="373">
        <f t="shared" ref="I64:I95" si="12">J64+K64</f>
        <v>7410000</v>
      </c>
      <c r="J64" s="373">
        <f t="shared" ref="J64:K66" si="13">J67</f>
        <v>0</v>
      </c>
      <c r="K64" s="373">
        <f t="shared" si="13"/>
        <v>7410000</v>
      </c>
      <c r="L64" s="373">
        <f t="shared" ref="L64:L95" si="14">M64+N64</f>
        <v>0</v>
      </c>
      <c r="M64" s="373">
        <f t="shared" ref="M64:N66" si="15">M67</f>
        <v>0</v>
      </c>
      <c r="N64" s="373">
        <f t="shared" si="15"/>
        <v>0</v>
      </c>
    </row>
    <row r="65" spans="1:14" s="372" customFormat="1" ht="15" hidden="1" customHeight="1">
      <c r="A65" s="1277"/>
      <c r="B65" s="1278"/>
      <c r="C65" s="1278"/>
      <c r="D65" s="1278"/>
      <c r="E65" s="1278"/>
      <c r="F65" s="1279"/>
      <c r="G65" s="375" t="s">
        <v>14</v>
      </c>
      <c r="H65" s="374">
        <f t="shared" si="11"/>
        <v>0</v>
      </c>
      <c r="I65" s="373">
        <f t="shared" si="12"/>
        <v>0</v>
      </c>
      <c r="J65" s="373">
        <f t="shared" si="13"/>
        <v>0</v>
      </c>
      <c r="K65" s="373">
        <f t="shared" si="13"/>
        <v>0</v>
      </c>
      <c r="L65" s="373">
        <f t="shared" si="14"/>
        <v>0</v>
      </c>
      <c r="M65" s="373">
        <f t="shared" si="15"/>
        <v>0</v>
      </c>
      <c r="N65" s="373">
        <f t="shared" si="15"/>
        <v>0</v>
      </c>
    </row>
    <row r="66" spans="1:14" s="372" customFormat="1" ht="15" hidden="1" customHeight="1">
      <c r="A66" s="1280"/>
      <c r="B66" s="1281"/>
      <c r="C66" s="1281"/>
      <c r="D66" s="1281"/>
      <c r="E66" s="1281"/>
      <c r="F66" s="1282"/>
      <c r="G66" s="375" t="s">
        <v>15</v>
      </c>
      <c r="H66" s="374">
        <f t="shared" si="11"/>
        <v>7410000</v>
      </c>
      <c r="I66" s="373">
        <f t="shared" si="12"/>
        <v>7410000</v>
      </c>
      <c r="J66" s="373">
        <f t="shared" si="13"/>
        <v>0</v>
      </c>
      <c r="K66" s="373">
        <f t="shared" si="13"/>
        <v>7410000</v>
      </c>
      <c r="L66" s="373">
        <f t="shared" si="14"/>
        <v>0</v>
      </c>
      <c r="M66" s="373">
        <f t="shared" si="15"/>
        <v>0</v>
      </c>
      <c r="N66" s="373">
        <f t="shared" si="15"/>
        <v>0</v>
      </c>
    </row>
    <row r="67" spans="1:14" s="298" customFormat="1" ht="15" hidden="1" customHeight="1">
      <c r="A67" s="1168" t="s">
        <v>271</v>
      </c>
      <c r="B67" s="1169"/>
      <c r="C67" s="1170" t="s">
        <v>272</v>
      </c>
      <c r="D67" s="1171"/>
      <c r="E67" s="1124" t="s">
        <v>743</v>
      </c>
      <c r="F67" s="1146"/>
      <c r="G67" s="317" t="s">
        <v>13</v>
      </c>
      <c r="H67" s="316">
        <f t="shared" si="11"/>
        <v>7410000</v>
      </c>
      <c r="I67" s="315">
        <f t="shared" si="12"/>
        <v>7410000</v>
      </c>
      <c r="J67" s="315">
        <v>0</v>
      </c>
      <c r="K67" s="315">
        <v>7410000</v>
      </c>
      <c r="L67" s="315">
        <f t="shared" si="14"/>
        <v>0</v>
      </c>
      <c r="M67" s="315">
        <v>0</v>
      </c>
      <c r="N67" s="315">
        <v>0</v>
      </c>
    </row>
    <row r="68" spans="1:14" s="298" customFormat="1" ht="15" hidden="1" customHeight="1">
      <c r="A68" s="1132"/>
      <c r="B68" s="1133"/>
      <c r="C68" s="1134"/>
      <c r="D68" s="1135"/>
      <c r="E68" s="1198"/>
      <c r="F68" s="1199"/>
      <c r="G68" s="317" t="s">
        <v>14</v>
      </c>
      <c r="H68" s="316">
        <f t="shared" si="11"/>
        <v>0</v>
      </c>
      <c r="I68" s="315">
        <f t="shared" si="12"/>
        <v>0</v>
      </c>
      <c r="J68" s="315">
        <v>0</v>
      </c>
      <c r="K68" s="315">
        <v>0</v>
      </c>
      <c r="L68" s="315">
        <f t="shared" si="14"/>
        <v>0</v>
      </c>
      <c r="M68" s="315">
        <v>0</v>
      </c>
      <c r="N68" s="315">
        <v>0</v>
      </c>
    </row>
    <row r="69" spans="1:14" s="298" customFormat="1" ht="15" hidden="1" customHeight="1">
      <c r="A69" s="1132"/>
      <c r="B69" s="1133"/>
      <c r="C69" s="1134"/>
      <c r="D69" s="1135"/>
      <c r="E69" s="1200"/>
      <c r="F69" s="1201"/>
      <c r="G69" s="317" t="s">
        <v>15</v>
      </c>
      <c r="H69" s="316">
        <f t="shared" si="11"/>
        <v>7410000</v>
      </c>
      <c r="I69" s="315">
        <f t="shared" si="12"/>
        <v>7410000</v>
      </c>
      <c r="J69" s="315">
        <f>J67+J68</f>
        <v>0</v>
      </c>
      <c r="K69" s="315">
        <f>K67+K68</f>
        <v>7410000</v>
      </c>
      <c r="L69" s="315">
        <f t="shared" si="14"/>
        <v>0</v>
      </c>
      <c r="M69" s="315">
        <f>M67+M68</f>
        <v>0</v>
      </c>
      <c r="N69" s="315">
        <f>N67+N68</f>
        <v>0</v>
      </c>
    </row>
    <row r="70" spans="1:14" s="372" customFormat="1" ht="15" hidden="1" customHeight="1">
      <c r="A70" s="1215" t="s">
        <v>274</v>
      </c>
      <c r="B70" s="1216"/>
      <c r="C70" s="1216"/>
      <c r="D70" s="1216"/>
      <c r="E70" s="1216"/>
      <c r="F70" s="1216"/>
      <c r="G70" s="375" t="s">
        <v>13</v>
      </c>
      <c r="H70" s="374">
        <f t="shared" si="11"/>
        <v>20240000</v>
      </c>
      <c r="I70" s="373">
        <f t="shared" si="12"/>
        <v>20240000</v>
      </c>
      <c r="J70" s="373">
        <f t="shared" ref="J70:K72" si="16">J73</f>
        <v>0</v>
      </c>
      <c r="K70" s="373">
        <f t="shared" si="16"/>
        <v>20240000</v>
      </c>
      <c r="L70" s="373">
        <f t="shared" si="14"/>
        <v>0</v>
      </c>
      <c r="M70" s="373">
        <f t="shared" ref="M70:N72" si="17">M73</f>
        <v>0</v>
      </c>
      <c r="N70" s="373">
        <f t="shared" si="17"/>
        <v>0</v>
      </c>
    </row>
    <row r="71" spans="1:14" s="372" customFormat="1" ht="15" hidden="1" customHeight="1">
      <c r="A71" s="1217"/>
      <c r="B71" s="1218"/>
      <c r="C71" s="1218"/>
      <c r="D71" s="1218"/>
      <c r="E71" s="1218"/>
      <c r="F71" s="1218"/>
      <c r="G71" s="375" t="s">
        <v>14</v>
      </c>
      <c r="H71" s="374">
        <f t="shared" si="11"/>
        <v>0</v>
      </c>
      <c r="I71" s="373">
        <f t="shared" si="12"/>
        <v>0</v>
      </c>
      <c r="J71" s="373">
        <f t="shared" si="16"/>
        <v>0</v>
      </c>
      <c r="K71" s="373">
        <f t="shared" si="16"/>
        <v>0</v>
      </c>
      <c r="L71" s="373">
        <f t="shared" si="14"/>
        <v>0</v>
      </c>
      <c r="M71" s="373">
        <f t="shared" si="17"/>
        <v>0</v>
      </c>
      <c r="N71" s="373">
        <f t="shared" si="17"/>
        <v>0</v>
      </c>
    </row>
    <row r="72" spans="1:14" s="372" customFormat="1" ht="15" hidden="1" customHeight="1">
      <c r="A72" s="1219"/>
      <c r="B72" s="1220"/>
      <c r="C72" s="1220"/>
      <c r="D72" s="1220"/>
      <c r="E72" s="1220"/>
      <c r="F72" s="1220"/>
      <c r="G72" s="375" t="s">
        <v>15</v>
      </c>
      <c r="H72" s="374">
        <f t="shared" si="11"/>
        <v>20240000</v>
      </c>
      <c r="I72" s="373">
        <f t="shared" si="12"/>
        <v>20240000</v>
      </c>
      <c r="J72" s="373">
        <f t="shared" si="16"/>
        <v>0</v>
      </c>
      <c r="K72" s="373">
        <f t="shared" si="16"/>
        <v>20240000</v>
      </c>
      <c r="L72" s="373">
        <f t="shared" si="14"/>
        <v>0</v>
      </c>
      <c r="M72" s="373">
        <f t="shared" si="17"/>
        <v>0</v>
      </c>
      <c r="N72" s="373">
        <f t="shared" si="17"/>
        <v>0</v>
      </c>
    </row>
    <row r="73" spans="1:14" s="298" customFormat="1" ht="15" hidden="1" customHeight="1">
      <c r="A73" s="1168" t="s">
        <v>271</v>
      </c>
      <c r="B73" s="1169"/>
      <c r="C73" s="1170" t="s">
        <v>272</v>
      </c>
      <c r="D73" s="1171"/>
      <c r="E73" s="1124" t="s">
        <v>743</v>
      </c>
      <c r="F73" s="1146"/>
      <c r="G73" s="317" t="s">
        <v>13</v>
      </c>
      <c r="H73" s="316">
        <f t="shared" si="11"/>
        <v>20240000</v>
      </c>
      <c r="I73" s="315">
        <f t="shared" si="12"/>
        <v>20240000</v>
      </c>
      <c r="J73" s="315">
        <v>0</v>
      </c>
      <c r="K73" s="315">
        <v>20240000</v>
      </c>
      <c r="L73" s="315">
        <f t="shared" si="14"/>
        <v>0</v>
      </c>
      <c r="M73" s="315">
        <v>0</v>
      </c>
      <c r="N73" s="315">
        <v>0</v>
      </c>
    </row>
    <row r="74" spans="1:14" s="298" customFormat="1" ht="15" hidden="1" customHeight="1">
      <c r="A74" s="1132"/>
      <c r="B74" s="1133"/>
      <c r="C74" s="1134"/>
      <c r="D74" s="1135"/>
      <c r="E74" s="1198"/>
      <c r="F74" s="1199"/>
      <c r="G74" s="317" t="s">
        <v>14</v>
      </c>
      <c r="H74" s="316">
        <f t="shared" si="11"/>
        <v>0</v>
      </c>
      <c r="I74" s="315">
        <f t="shared" si="12"/>
        <v>0</v>
      </c>
      <c r="J74" s="315">
        <v>0</v>
      </c>
      <c r="K74" s="315">
        <v>0</v>
      </c>
      <c r="L74" s="315">
        <f t="shared" si="14"/>
        <v>0</v>
      </c>
      <c r="M74" s="315">
        <v>0</v>
      </c>
      <c r="N74" s="315">
        <v>0</v>
      </c>
    </row>
    <row r="75" spans="1:14" s="298" customFormat="1" ht="15" hidden="1" customHeight="1">
      <c r="A75" s="1181"/>
      <c r="B75" s="1213"/>
      <c r="C75" s="1180"/>
      <c r="D75" s="1214"/>
      <c r="E75" s="1200"/>
      <c r="F75" s="1201"/>
      <c r="G75" s="317" t="s">
        <v>15</v>
      </c>
      <c r="H75" s="316">
        <f t="shared" si="11"/>
        <v>20240000</v>
      </c>
      <c r="I75" s="315">
        <f t="shared" si="12"/>
        <v>20240000</v>
      </c>
      <c r="J75" s="315">
        <f>J73+J74</f>
        <v>0</v>
      </c>
      <c r="K75" s="315">
        <f>K73+K74</f>
        <v>20240000</v>
      </c>
      <c r="L75" s="315">
        <f t="shared" si="14"/>
        <v>0</v>
      </c>
      <c r="M75" s="315">
        <f>M73+M74</f>
        <v>0</v>
      </c>
      <c r="N75" s="315">
        <f>N73+N74</f>
        <v>0</v>
      </c>
    </row>
    <row r="76" spans="1:14" s="372" customFormat="1" ht="15" hidden="1" customHeight="1">
      <c r="A76" s="1215" t="s">
        <v>336</v>
      </c>
      <c r="B76" s="1216"/>
      <c r="C76" s="1216"/>
      <c r="D76" s="1216"/>
      <c r="E76" s="1216"/>
      <c r="F76" s="1216"/>
      <c r="G76" s="375" t="s">
        <v>13</v>
      </c>
      <c r="H76" s="374">
        <f t="shared" si="11"/>
        <v>2000000</v>
      </c>
      <c r="I76" s="373">
        <f t="shared" si="12"/>
        <v>2000000</v>
      </c>
      <c r="J76" s="373">
        <f t="shared" ref="J76:K78" si="18">J79</f>
        <v>0</v>
      </c>
      <c r="K76" s="373">
        <f t="shared" si="18"/>
        <v>2000000</v>
      </c>
      <c r="L76" s="373">
        <f t="shared" si="14"/>
        <v>0</v>
      </c>
      <c r="M76" s="373">
        <f t="shared" ref="M76:N78" si="19">M79</f>
        <v>0</v>
      </c>
      <c r="N76" s="373">
        <f t="shared" si="19"/>
        <v>0</v>
      </c>
    </row>
    <row r="77" spans="1:14" s="372" customFormat="1" ht="15" hidden="1" customHeight="1">
      <c r="A77" s="1217"/>
      <c r="B77" s="1218"/>
      <c r="C77" s="1218"/>
      <c r="D77" s="1218"/>
      <c r="E77" s="1218"/>
      <c r="F77" s="1218"/>
      <c r="G77" s="375" t="s">
        <v>14</v>
      </c>
      <c r="H77" s="374">
        <f t="shared" si="11"/>
        <v>0</v>
      </c>
      <c r="I77" s="373">
        <f t="shared" si="12"/>
        <v>0</v>
      </c>
      <c r="J77" s="373">
        <f t="shared" si="18"/>
        <v>0</v>
      </c>
      <c r="K77" s="373">
        <f t="shared" si="18"/>
        <v>0</v>
      </c>
      <c r="L77" s="373">
        <f t="shared" si="14"/>
        <v>0</v>
      </c>
      <c r="M77" s="373">
        <f t="shared" si="19"/>
        <v>0</v>
      </c>
      <c r="N77" s="373">
        <f t="shared" si="19"/>
        <v>0</v>
      </c>
    </row>
    <row r="78" spans="1:14" s="372" customFormat="1" ht="15" hidden="1" customHeight="1">
      <c r="A78" s="1219"/>
      <c r="B78" s="1220"/>
      <c r="C78" s="1220"/>
      <c r="D78" s="1220"/>
      <c r="E78" s="1220"/>
      <c r="F78" s="1220"/>
      <c r="G78" s="375" t="s">
        <v>15</v>
      </c>
      <c r="H78" s="374">
        <f t="shared" si="11"/>
        <v>2000000</v>
      </c>
      <c r="I78" s="373">
        <f t="shared" si="12"/>
        <v>2000000</v>
      </c>
      <c r="J78" s="373">
        <f t="shared" si="18"/>
        <v>0</v>
      </c>
      <c r="K78" s="373">
        <f t="shared" si="18"/>
        <v>2000000</v>
      </c>
      <c r="L78" s="373">
        <f t="shared" si="14"/>
        <v>0</v>
      </c>
      <c r="M78" s="373">
        <f t="shared" si="19"/>
        <v>0</v>
      </c>
      <c r="N78" s="373">
        <f t="shared" si="19"/>
        <v>0</v>
      </c>
    </row>
    <row r="79" spans="1:14" s="298" customFormat="1" ht="15" hidden="1" customHeight="1">
      <c r="A79" s="1168" t="s">
        <v>271</v>
      </c>
      <c r="B79" s="1169"/>
      <c r="C79" s="1170" t="s">
        <v>272</v>
      </c>
      <c r="D79" s="1171"/>
      <c r="E79" s="1124" t="s">
        <v>743</v>
      </c>
      <c r="F79" s="1146"/>
      <c r="G79" s="317" t="s">
        <v>13</v>
      </c>
      <c r="H79" s="316">
        <f t="shared" si="11"/>
        <v>2000000</v>
      </c>
      <c r="I79" s="315">
        <f t="shared" si="12"/>
        <v>2000000</v>
      </c>
      <c r="J79" s="315">
        <v>0</v>
      </c>
      <c r="K79" s="315">
        <v>2000000</v>
      </c>
      <c r="L79" s="315">
        <f t="shared" si="14"/>
        <v>0</v>
      </c>
      <c r="M79" s="315">
        <v>0</v>
      </c>
      <c r="N79" s="315">
        <v>0</v>
      </c>
    </row>
    <row r="80" spans="1:14" s="298" customFormat="1" ht="15" hidden="1" customHeight="1">
      <c r="A80" s="1132"/>
      <c r="B80" s="1273"/>
      <c r="C80" s="1134"/>
      <c r="D80" s="1273"/>
      <c r="E80" s="1126"/>
      <c r="F80" s="1147"/>
      <c r="G80" s="317" t="s">
        <v>14</v>
      </c>
      <c r="H80" s="316">
        <f t="shared" si="11"/>
        <v>0</v>
      </c>
      <c r="I80" s="315">
        <f t="shared" si="12"/>
        <v>0</v>
      </c>
      <c r="J80" s="315">
        <v>0</v>
      </c>
      <c r="K80" s="315">
        <v>0</v>
      </c>
      <c r="L80" s="315">
        <f t="shared" si="14"/>
        <v>0</v>
      </c>
      <c r="M80" s="315">
        <v>0</v>
      </c>
      <c r="N80" s="315">
        <v>0</v>
      </c>
    </row>
    <row r="81" spans="1:14" s="298" customFormat="1" ht="15" hidden="1" customHeight="1">
      <c r="A81" s="1181"/>
      <c r="B81" s="1274"/>
      <c r="C81" s="1180"/>
      <c r="D81" s="1274"/>
      <c r="E81" s="1128"/>
      <c r="F81" s="1148"/>
      <c r="G81" s="317" t="s">
        <v>15</v>
      </c>
      <c r="H81" s="316">
        <f t="shared" si="11"/>
        <v>2000000</v>
      </c>
      <c r="I81" s="315">
        <f t="shared" si="12"/>
        <v>2000000</v>
      </c>
      <c r="J81" s="315">
        <f>J79+J80</f>
        <v>0</v>
      </c>
      <c r="K81" s="315">
        <f>K79+K80</f>
        <v>2000000</v>
      </c>
      <c r="L81" s="315">
        <f t="shared" si="14"/>
        <v>0</v>
      </c>
      <c r="M81" s="315">
        <f>M79+M80</f>
        <v>0</v>
      </c>
      <c r="N81" s="315">
        <f>N79+N80</f>
        <v>0</v>
      </c>
    </row>
    <row r="82" spans="1:14" s="372" customFormat="1" ht="15" hidden="1" customHeight="1">
      <c r="A82" s="1215" t="s">
        <v>764</v>
      </c>
      <c r="B82" s="1216"/>
      <c r="C82" s="1216"/>
      <c r="D82" s="1216"/>
      <c r="E82" s="1216"/>
      <c r="F82" s="1216"/>
      <c r="G82" s="375" t="s">
        <v>13</v>
      </c>
      <c r="H82" s="374">
        <f t="shared" si="11"/>
        <v>10016500</v>
      </c>
      <c r="I82" s="373">
        <f t="shared" si="12"/>
        <v>10016500</v>
      </c>
      <c r="J82" s="373">
        <f t="shared" ref="J82:K84" si="20">J85+J88</f>
        <v>0</v>
      </c>
      <c r="K82" s="373">
        <f t="shared" si="20"/>
        <v>10016500</v>
      </c>
      <c r="L82" s="373">
        <f t="shared" si="14"/>
        <v>0</v>
      </c>
      <c r="M82" s="373">
        <f t="shared" ref="M82:N84" si="21">M85+M88</f>
        <v>0</v>
      </c>
      <c r="N82" s="373">
        <f t="shared" si="21"/>
        <v>0</v>
      </c>
    </row>
    <row r="83" spans="1:14" s="372" customFormat="1" ht="15" hidden="1" customHeight="1">
      <c r="A83" s="1217"/>
      <c r="B83" s="1218"/>
      <c r="C83" s="1218"/>
      <c r="D83" s="1218"/>
      <c r="E83" s="1218"/>
      <c r="F83" s="1218"/>
      <c r="G83" s="375" t="s">
        <v>14</v>
      </c>
      <c r="H83" s="374">
        <f t="shared" si="11"/>
        <v>0</v>
      </c>
      <c r="I83" s="373">
        <f t="shared" si="12"/>
        <v>0</v>
      </c>
      <c r="J83" s="373">
        <f t="shared" si="20"/>
        <v>0</v>
      </c>
      <c r="K83" s="373">
        <f t="shared" si="20"/>
        <v>0</v>
      </c>
      <c r="L83" s="373">
        <f t="shared" si="14"/>
        <v>0</v>
      </c>
      <c r="M83" s="373">
        <f t="shared" si="21"/>
        <v>0</v>
      </c>
      <c r="N83" s="373">
        <f t="shared" si="21"/>
        <v>0</v>
      </c>
    </row>
    <row r="84" spans="1:14" s="372" customFormat="1" ht="15" hidden="1" customHeight="1">
      <c r="A84" s="1219"/>
      <c r="B84" s="1220"/>
      <c r="C84" s="1220"/>
      <c r="D84" s="1220"/>
      <c r="E84" s="1220"/>
      <c r="F84" s="1220"/>
      <c r="G84" s="375" t="s">
        <v>15</v>
      </c>
      <c r="H84" s="374">
        <f t="shared" si="11"/>
        <v>10016500</v>
      </c>
      <c r="I84" s="373">
        <f t="shared" si="12"/>
        <v>10016500</v>
      </c>
      <c r="J84" s="373">
        <f t="shared" si="20"/>
        <v>0</v>
      </c>
      <c r="K84" s="373">
        <f t="shared" si="20"/>
        <v>10016500</v>
      </c>
      <c r="L84" s="373">
        <f t="shared" si="14"/>
        <v>0</v>
      </c>
      <c r="M84" s="373">
        <f t="shared" si="21"/>
        <v>0</v>
      </c>
      <c r="N84" s="373">
        <f t="shared" si="21"/>
        <v>0</v>
      </c>
    </row>
    <row r="85" spans="1:14" s="298" customFormat="1" ht="15" hidden="1" customHeight="1">
      <c r="A85" s="1168" t="s">
        <v>271</v>
      </c>
      <c r="B85" s="1169"/>
      <c r="C85" s="1170" t="s">
        <v>372</v>
      </c>
      <c r="D85" s="1171"/>
      <c r="E85" s="1124" t="s">
        <v>743</v>
      </c>
      <c r="F85" s="1146"/>
      <c r="G85" s="317" t="s">
        <v>13</v>
      </c>
      <c r="H85" s="316">
        <f t="shared" si="11"/>
        <v>9951500</v>
      </c>
      <c r="I85" s="315">
        <f t="shared" si="12"/>
        <v>9951500</v>
      </c>
      <c r="J85" s="315">
        <v>0</v>
      </c>
      <c r="K85" s="315">
        <v>9951500</v>
      </c>
      <c r="L85" s="315">
        <f t="shared" si="14"/>
        <v>0</v>
      </c>
      <c r="M85" s="315">
        <v>0</v>
      </c>
      <c r="N85" s="315">
        <v>0</v>
      </c>
    </row>
    <row r="86" spans="1:14" s="298" customFormat="1" ht="15" hidden="1" customHeight="1">
      <c r="A86" s="1132"/>
      <c r="B86" s="1133"/>
      <c r="C86" s="1134"/>
      <c r="D86" s="1135"/>
      <c r="E86" s="1126"/>
      <c r="F86" s="1147"/>
      <c r="G86" s="317" t="s">
        <v>14</v>
      </c>
      <c r="H86" s="316">
        <f t="shared" si="11"/>
        <v>0</v>
      </c>
      <c r="I86" s="315">
        <f t="shared" si="12"/>
        <v>0</v>
      </c>
      <c r="J86" s="315">
        <v>0</v>
      </c>
      <c r="K86" s="315">
        <v>0</v>
      </c>
      <c r="L86" s="315">
        <f t="shared" si="14"/>
        <v>0</v>
      </c>
      <c r="M86" s="315">
        <v>0</v>
      </c>
      <c r="N86" s="315">
        <v>0</v>
      </c>
    </row>
    <row r="87" spans="1:14" s="298" customFormat="1" ht="15" hidden="1" customHeight="1">
      <c r="A87" s="1132"/>
      <c r="B87" s="1133"/>
      <c r="C87" s="1134"/>
      <c r="D87" s="1135"/>
      <c r="E87" s="1128"/>
      <c r="F87" s="1148"/>
      <c r="G87" s="317" t="s">
        <v>15</v>
      </c>
      <c r="H87" s="316">
        <f t="shared" si="11"/>
        <v>9951500</v>
      </c>
      <c r="I87" s="315">
        <f t="shared" si="12"/>
        <v>9951500</v>
      </c>
      <c r="J87" s="315">
        <f>J85+J86</f>
        <v>0</v>
      </c>
      <c r="K87" s="315">
        <f>K85+K86</f>
        <v>9951500</v>
      </c>
      <c r="L87" s="315">
        <f t="shared" si="14"/>
        <v>0</v>
      </c>
      <c r="M87" s="315">
        <f>M85+M86</f>
        <v>0</v>
      </c>
      <c r="N87" s="315">
        <f>N85+N86</f>
        <v>0</v>
      </c>
    </row>
    <row r="88" spans="1:14" s="298" customFormat="1" ht="15" hidden="1" customHeight="1">
      <c r="A88" s="1132"/>
      <c r="B88" s="1133"/>
      <c r="C88" s="1134"/>
      <c r="D88" s="1135"/>
      <c r="E88" s="1124" t="s">
        <v>763</v>
      </c>
      <c r="F88" s="1146"/>
      <c r="G88" s="317" t="s">
        <v>13</v>
      </c>
      <c r="H88" s="316">
        <f t="shared" si="11"/>
        <v>65000</v>
      </c>
      <c r="I88" s="315">
        <f t="shared" si="12"/>
        <v>65000</v>
      </c>
      <c r="J88" s="315">
        <v>0</v>
      </c>
      <c r="K88" s="315">
        <v>65000</v>
      </c>
      <c r="L88" s="315">
        <f t="shared" si="14"/>
        <v>0</v>
      </c>
      <c r="M88" s="315">
        <v>0</v>
      </c>
      <c r="N88" s="315">
        <v>0</v>
      </c>
    </row>
    <row r="89" spans="1:14" s="298" customFormat="1" ht="15" hidden="1" customHeight="1">
      <c r="A89" s="1132"/>
      <c r="B89" s="1133"/>
      <c r="C89" s="1134"/>
      <c r="D89" s="1135"/>
      <c r="E89" s="1126"/>
      <c r="F89" s="1147"/>
      <c r="G89" s="317" t="s">
        <v>14</v>
      </c>
      <c r="H89" s="316">
        <f t="shared" si="11"/>
        <v>0</v>
      </c>
      <c r="I89" s="315">
        <f t="shared" si="12"/>
        <v>0</v>
      </c>
      <c r="J89" s="315">
        <v>0</v>
      </c>
      <c r="K89" s="315">
        <v>0</v>
      </c>
      <c r="L89" s="315">
        <f t="shared" si="14"/>
        <v>0</v>
      </c>
      <c r="M89" s="315">
        <v>0</v>
      </c>
      <c r="N89" s="315">
        <v>0</v>
      </c>
    </row>
    <row r="90" spans="1:14" s="298" customFormat="1" ht="15" hidden="1" customHeight="1">
      <c r="A90" s="1181"/>
      <c r="B90" s="1213"/>
      <c r="C90" s="1180"/>
      <c r="D90" s="1214"/>
      <c r="E90" s="1128"/>
      <c r="F90" s="1148"/>
      <c r="G90" s="317" t="s">
        <v>15</v>
      </c>
      <c r="H90" s="316">
        <f t="shared" si="11"/>
        <v>65000</v>
      </c>
      <c r="I90" s="315">
        <f t="shared" si="12"/>
        <v>65000</v>
      </c>
      <c r="J90" s="315">
        <f>J88+J89</f>
        <v>0</v>
      </c>
      <c r="K90" s="315">
        <f>K88+K89</f>
        <v>65000</v>
      </c>
      <c r="L90" s="315">
        <f t="shared" si="14"/>
        <v>0</v>
      </c>
      <c r="M90" s="315">
        <f>M88+M89</f>
        <v>0</v>
      </c>
      <c r="N90" s="315">
        <f>N88+N89</f>
        <v>0</v>
      </c>
    </row>
    <row r="91" spans="1:14" s="372" customFormat="1" ht="15" hidden="1" customHeight="1">
      <c r="A91" s="1215" t="s">
        <v>762</v>
      </c>
      <c r="B91" s="1216"/>
      <c r="C91" s="1216"/>
      <c r="D91" s="1216"/>
      <c r="E91" s="1216"/>
      <c r="F91" s="1216"/>
      <c r="G91" s="375" t="s">
        <v>13</v>
      </c>
      <c r="H91" s="374">
        <f t="shared" si="11"/>
        <v>2100000</v>
      </c>
      <c r="I91" s="373">
        <f t="shared" si="12"/>
        <v>2100000</v>
      </c>
      <c r="J91" s="373">
        <f t="shared" ref="J91:K93" si="22">J94</f>
        <v>0</v>
      </c>
      <c r="K91" s="373">
        <f t="shared" si="22"/>
        <v>2100000</v>
      </c>
      <c r="L91" s="373">
        <f t="shared" si="14"/>
        <v>0</v>
      </c>
      <c r="M91" s="373">
        <f t="shared" ref="M91:N93" si="23">M94</f>
        <v>0</v>
      </c>
      <c r="N91" s="373">
        <f t="shared" si="23"/>
        <v>0</v>
      </c>
    </row>
    <row r="92" spans="1:14" s="372" customFormat="1" ht="15" hidden="1" customHeight="1">
      <c r="A92" s="1217"/>
      <c r="B92" s="1218"/>
      <c r="C92" s="1218"/>
      <c r="D92" s="1218"/>
      <c r="E92" s="1218"/>
      <c r="F92" s="1218"/>
      <c r="G92" s="375" t="s">
        <v>14</v>
      </c>
      <c r="H92" s="374">
        <f t="shared" si="11"/>
        <v>0</v>
      </c>
      <c r="I92" s="373">
        <f t="shared" si="12"/>
        <v>0</v>
      </c>
      <c r="J92" s="373">
        <f t="shared" si="22"/>
        <v>0</v>
      </c>
      <c r="K92" s="373">
        <f t="shared" si="22"/>
        <v>0</v>
      </c>
      <c r="L92" s="373">
        <f t="shared" si="14"/>
        <v>0</v>
      </c>
      <c r="M92" s="373">
        <f t="shared" si="23"/>
        <v>0</v>
      </c>
      <c r="N92" s="373">
        <f t="shared" si="23"/>
        <v>0</v>
      </c>
    </row>
    <row r="93" spans="1:14" s="372" customFormat="1" ht="15" hidden="1" customHeight="1">
      <c r="A93" s="1219"/>
      <c r="B93" s="1220"/>
      <c r="C93" s="1220"/>
      <c r="D93" s="1220"/>
      <c r="E93" s="1220"/>
      <c r="F93" s="1220"/>
      <c r="G93" s="375" t="s">
        <v>15</v>
      </c>
      <c r="H93" s="374">
        <f t="shared" si="11"/>
        <v>2100000</v>
      </c>
      <c r="I93" s="373">
        <f t="shared" si="12"/>
        <v>2100000</v>
      </c>
      <c r="J93" s="373">
        <f t="shared" si="22"/>
        <v>0</v>
      </c>
      <c r="K93" s="373">
        <f t="shared" si="22"/>
        <v>2100000</v>
      </c>
      <c r="L93" s="373">
        <f t="shared" si="14"/>
        <v>0</v>
      </c>
      <c r="M93" s="373">
        <f t="shared" si="23"/>
        <v>0</v>
      </c>
      <c r="N93" s="373">
        <f t="shared" si="23"/>
        <v>0</v>
      </c>
    </row>
    <row r="94" spans="1:14" s="298" customFormat="1" ht="15" hidden="1" customHeight="1">
      <c r="A94" s="1168" t="s">
        <v>271</v>
      </c>
      <c r="B94" s="1169"/>
      <c r="C94" s="1170" t="s">
        <v>277</v>
      </c>
      <c r="D94" s="1171"/>
      <c r="E94" s="1124" t="s">
        <v>743</v>
      </c>
      <c r="F94" s="1146"/>
      <c r="G94" s="317" t="s">
        <v>13</v>
      </c>
      <c r="H94" s="316">
        <f t="shared" si="11"/>
        <v>2100000</v>
      </c>
      <c r="I94" s="315">
        <f t="shared" si="12"/>
        <v>2100000</v>
      </c>
      <c r="J94" s="315">
        <v>0</v>
      </c>
      <c r="K94" s="315">
        <v>2100000</v>
      </c>
      <c r="L94" s="315">
        <f t="shared" si="14"/>
        <v>0</v>
      </c>
      <c r="M94" s="315">
        <v>0</v>
      </c>
      <c r="N94" s="315">
        <v>0</v>
      </c>
    </row>
    <row r="95" spans="1:14" s="298" customFormat="1" ht="15" hidden="1" customHeight="1">
      <c r="A95" s="1132"/>
      <c r="B95" s="1133"/>
      <c r="C95" s="1134"/>
      <c r="D95" s="1135"/>
      <c r="E95" s="1126"/>
      <c r="F95" s="1147"/>
      <c r="G95" s="317" t="s">
        <v>14</v>
      </c>
      <c r="H95" s="316">
        <f t="shared" si="11"/>
        <v>0</v>
      </c>
      <c r="I95" s="315">
        <f t="shared" si="12"/>
        <v>0</v>
      </c>
      <c r="J95" s="315">
        <v>0</v>
      </c>
      <c r="K95" s="315">
        <v>0</v>
      </c>
      <c r="L95" s="315">
        <f t="shared" si="14"/>
        <v>0</v>
      </c>
      <c r="M95" s="315">
        <v>0</v>
      </c>
      <c r="N95" s="315">
        <v>0</v>
      </c>
    </row>
    <row r="96" spans="1:14" s="298" customFormat="1" ht="15" hidden="1" customHeight="1">
      <c r="A96" s="1181"/>
      <c r="B96" s="1213"/>
      <c r="C96" s="1180"/>
      <c r="D96" s="1214"/>
      <c r="E96" s="1128"/>
      <c r="F96" s="1148"/>
      <c r="G96" s="317" t="s">
        <v>15</v>
      </c>
      <c r="H96" s="316">
        <f t="shared" ref="H96:H127" si="24">I96+L96</f>
        <v>2100000</v>
      </c>
      <c r="I96" s="315">
        <f t="shared" ref="I96:I127" si="25">J96+K96</f>
        <v>2100000</v>
      </c>
      <c r="J96" s="315">
        <f>J94+J95</f>
        <v>0</v>
      </c>
      <c r="K96" s="315">
        <f>K94+K95</f>
        <v>2100000</v>
      </c>
      <c r="L96" s="315">
        <f t="shared" ref="L96:L127" si="26">M96+N96</f>
        <v>0</v>
      </c>
      <c r="M96" s="315">
        <f>M94+M95</f>
        <v>0</v>
      </c>
      <c r="N96" s="315">
        <f>N94+N95</f>
        <v>0</v>
      </c>
    </row>
    <row r="97" spans="1:14" s="372" customFormat="1" ht="15" hidden="1" customHeight="1">
      <c r="A97" s="1215" t="s">
        <v>341</v>
      </c>
      <c r="B97" s="1216"/>
      <c r="C97" s="1216"/>
      <c r="D97" s="1216"/>
      <c r="E97" s="1216"/>
      <c r="F97" s="1216"/>
      <c r="G97" s="375" t="s">
        <v>13</v>
      </c>
      <c r="H97" s="374">
        <f t="shared" si="24"/>
        <v>2801180</v>
      </c>
      <c r="I97" s="373">
        <f t="shared" si="25"/>
        <v>2801180</v>
      </c>
      <c r="J97" s="373">
        <f t="shared" ref="J97:K99" si="27">J100</f>
        <v>0</v>
      </c>
      <c r="K97" s="373">
        <f t="shared" si="27"/>
        <v>2801180</v>
      </c>
      <c r="L97" s="373">
        <f t="shared" si="26"/>
        <v>0</v>
      </c>
      <c r="M97" s="373">
        <f t="shared" ref="M97:N99" si="28">M100</f>
        <v>0</v>
      </c>
      <c r="N97" s="373">
        <f t="shared" si="28"/>
        <v>0</v>
      </c>
    </row>
    <row r="98" spans="1:14" s="372" customFormat="1" ht="15" hidden="1" customHeight="1">
      <c r="A98" s="1217"/>
      <c r="B98" s="1218"/>
      <c r="C98" s="1218"/>
      <c r="D98" s="1218"/>
      <c r="E98" s="1218"/>
      <c r="F98" s="1218"/>
      <c r="G98" s="375" t="s">
        <v>14</v>
      </c>
      <c r="H98" s="374">
        <f t="shared" si="24"/>
        <v>0</v>
      </c>
      <c r="I98" s="373">
        <f t="shared" si="25"/>
        <v>0</v>
      </c>
      <c r="J98" s="373">
        <f t="shared" si="27"/>
        <v>0</v>
      </c>
      <c r="K98" s="373">
        <f t="shared" si="27"/>
        <v>0</v>
      </c>
      <c r="L98" s="373">
        <f t="shared" si="26"/>
        <v>0</v>
      </c>
      <c r="M98" s="373">
        <f t="shared" si="28"/>
        <v>0</v>
      </c>
      <c r="N98" s="373">
        <f t="shared" si="28"/>
        <v>0</v>
      </c>
    </row>
    <row r="99" spans="1:14" s="372" customFormat="1" ht="15" hidden="1" customHeight="1">
      <c r="A99" s="1219"/>
      <c r="B99" s="1220"/>
      <c r="C99" s="1220"/>
      <c r="D99" s="1220"/>
      <c r="E99" s="1220"/>
      <c r="F99" s="1220"/>
      <c r="G99" s="375" t="s">
        <v>15</v>
      </c>
      <c r="H99" s="374">
        <f t="shared" si="24"/>
        <v>2801180</v>
      </c>
      <c r="I99" s="373">
        <f t="shared" si="25"/>
        <v>2801180</v>
      </c>
      <c r="J99" s="373">
        <f t="shared" si="27"/>
        <v>0</v>
      </c>
      <c r="K99" s="373">
        <f t="shared" si="27"/>
        <v>2801180</v>
      </c>
      <c r="L99" s="373">
        <f t="shared" si="26"/>
        <v>0</v>
      </c>
      <c r="M99" s="373">
        <f t="shared" si="28"/>
        <v>0</v>
      </c>
      <c r="N99" s="373">
        <f t="shared" si="28"/>
        <v>0</v>
      </c>
    </row>
    <row r="100" spans="1:14" s="298" customFormat="1" ht="15" hidden="1" customHeight="1">
      <c r="A100" s="1168" t="s">
        <v>271</v>
      </c>
      <c r="B100" s="1169"/>
      <c r="C100" s="1170" t="s">
        <v>277</v>
      </c>
      <c r="D100" s="1171"/>
      <c r="E100" s="1124" t="s">
        <v>743</v>
      </c>
      <c r="F100" s="1146"/>
      <c r="G100" s="317" t="s">
        <v>13</v>
      </c>
      <c r="H100" s="316">
        <f t="shared" si="24"/>
        <v>2801180</v>
      </c>
      <c r="I100" s="315">
        <f t="shared" si="25"/>
        <v>2801180</v>
      </c>
      <c r="J100" s="315">
        <v>0</v>
      </c>
      <c r="K100" s="315">
        <v>2801180</v>
      </c>
      <c r="L100" s="315">
        <f t="shared" si="26"/>
        <v>0</v>
      </c>
      <c r="M100" s="315">
        <v>0</v>
      </c>
      <c r="N100" s="315">
        <v>0</v>
      </c>
    </row>
    <row r="101" spans="1:14" s="298" customFormat="1" ht="15" hidden="1" customHeight="1">
      <c r="A101" s="1132"/>
      <c r="B101" s="1133"/>
      <c r="C101" s="1134"/>
      <c r="D101" s="1135"/>
      <c r="E101" s="1126"/>
      <c r="F101" s="1147"/>
      <c r="G101" s="317" t="s">
        <v>14</v>
      </c>
      <c r="H101" s="316">
        <f t="shared" si="24"/>
        <v>0</v>
      </c>
      <c r="I101" s="315">
        <f t="shared" si="25"/>
        <v>0</v>
      </c>
      <c r="J101" s="315">
        <v>0</v>
      </c>
      <c r="K101" s="315">
        <v>0</v>
      </c>
      <c r="L101" s="315">
        <f t="shared" si="26"/>
        <v>0</v>
      </c>
      <c r="M101" s="315">
        <v>0</v>
      </c>
      <c r="N101" s="315">
        <v>0</v>
      </c>
    </row>
    <row r="102" spans="1:14" s="298" customFormat="1" ht="15" hidden="1" customHeight="1">
      <c r="A102" s="1181"/>
      <c r="B102" s="1213"/>
      <c r="C102" s="1180"/>
      <c r="D102" s="1214"/>
      <c r="E102" s="1128"/>
      <c r="F102" s="1148"/>
      <c r="G102" s="317" t="s">
        <v>15</v>
      </c>
      <c r="H102" s="316">
        <f t="shared" si="24"/>
        <v>2801180</v>
      </c>
      <c r="I102" s="315">
        <f t="shared" si="25"/>
        <v>2801180</v>
      </c>
      <c r="J102" s="315">
        <f>J100+J101</f>
        <v>0</v>
      </c>
      <c r="K102" s="315">
        <f>K100+K101</f>
        <v>2801180</v>
      </c>
      <c r="L102" s="315">
        <f t="shared" si="26"/>
        <v>0</v>
      </c>
      <c r="M102" s="315">
        <f>M100+M101</f>
        <v>0</v>
      </c>
      <c r="N102" s="315">
        <f>N100+N101</f>
        <v>0</v>
      </c>
    </row>
    <row r="103" spans="1:14" s="372" customFormat="1" ht="15" customHeight="1">
      <c r="A103" s="1215" t="s">
        <v>761</v>
      </c>
      <c r="B103" s="1216"/>
      <c r="C103" s="1216"/>
      <c r="D103" s="1216"/>
      <c r="E103" s="1216"/>
      <c r="F103" s="1216"/>
      <c r="G103" s="375" t="s">
        <v>13</v>
      </c>
      <c r="H103" s="374">
        <f t="shared" si="24"/>
        <v>0</v>
      </c>
      <c r="I103" s="373">
        <f t="shared" si="25"/>
        <v>0</v>
      </c>
      <c r="J103" s="373">
        <f t="shared" ref="J103:K105" si="29">J106</f>
        <v>0</v>
      </c>
      <c r="K103" s="373">
        <f t="shared" si="29"/>
        <v>0</v>
      </c>
      <c r="L103" s="373">
        <f t="shared" si="26"/>
        <v>0</v>
      </c>
      <c r="M103" s="373">
        <f t="shared" ref="M103:N105" si="30">M106</f>
        <v>0</v>
      </c>
      <c r="N103" s="373">
        <f t="shared" si="30"/>
        <v>0</v>
      </c>
    </row>
    <row r="104" spans="1:14" s="372" customFormat="1" ht="15" customHeight="1">
      <c r="A104" s="1217"/>
      <c r="B104" s="1218"/>
      <c r="C104" s="1218"/>
      <c r="D104" s="1218"/>
      <c r="E104" s="1218"/>
      <c r="F104" s="1218"/>
      <c r="G104" s="375" t="s">
        <v>14</v>
      </c>
      <c r="H104" s="374">
        <f t="shared" si="24"/>
        <v>537000</v>
      </c>
      <c r="I104" s="373">
        <f t="shared" si="25"/>
        <v>537000</v>
      </c>
      <c r="J104" s="373">
        <f t="shared" si="29"/>
        <v>0</v>
      </c>
      <c r="K104" s="373">
        <f t="shared" si="29"/>
        <v>537000</v>
      </c>
      <c r="L104" s="373">
        <f t="shared" si="26"/>
        <v>0</v>
      </c>
      <c r="M104" s="373">
        <f t="shared" si="30"/>
        <v>0</v>
      </c>
      <c r="N104" s="373">
        <f t="shared" si="30"/>
        <v>0</v>
      </c>
    </row>
    <row r="105" spans="1:14" s="372" customFormat="1" ht="15" customHeight="1">
      <c r="A105" s="1219"/>
      <c r="B105" s="1220"/>
      <c r="C105" s="1220"/>
      <c r="D105" s="1220"/>
      <c r="E105" s="1220"/>
      <c r="F105" s="1220"/>
      <c r="G105" s="375" t="s">
        <v>15</v>
      </c>
      <c r="H105" s="374">
        <f t="shared" si="24"/>
        <v>537000</v>
      </c>
      <c r="I105" s="373">
        <f t="shared" si="25"/>
        <v>537000</v>
      </c>
      <c r="J105" s="373">
        <f t="shared" si="29"/>
        <v>0</v>
      </c>
      <c r="K105" s="373">
        <f t="shared" si="29"/>
        <v>537000</v>
      </c>
      <c r="L105" s="373">
        <f t="shared" si="26"/>
        <v>0</v>
      </c>
      <c r="M105" s="373">
        <f t="shared" si="30"/>
        <v>0</v>
      </c>
      <c r="N105" s="373">
        <f t="shared" si="30"/>
        <v>0</v>
      </c>
    </row>
    <row r="106" spans="1:14" s="298" customFormat="1" ht="15" customHeight="1">
      <c r="A106" s="1168" t="s">
        <v>271</v>
      </c>
      <c r="B106" s="1169"/>
      <c r="C106" s="1170" t="s">
        <v>277</v>
      </c>
      <c r="D106" s="1171"/>
      <c r="E106" s="1124" t="s">
        <v>743</v>
      </c>
      <c r="F106" s="1146"/>
      <c r="G106" s="317" t="s">
        <v>13</v>
      </c>
      <c r="H106" s="316">
        <f t="shared" si="24"/>
        <v>0</v>
      </c>
      <c r="I106" s="315">
        <f t="shared" si="25"/>
        <v>0</v>
      </c>
      <c r="J106" s="315">
        <v>0</v>
      </c>
      <c r="K106" s="315">
        <v>0</v>
      </c>
      <c r="L106" s="315">
        <f t="shared" si="26"/>
        <v>0</v>
      </c>
      <c r="M106" s="315">
        <v>0</v>
      </c>
      <c r="N106" s="315">
        <v>0</v>
      </c>
    </row>
    <row r="107" spans="1:14" s="298" customFormat="1" ht="15" customHeight="1">
      <c r="A107" s="1132"/>
      <c r="B107" s="1133"/>
      <c r="C107" s="1134"/>
      <c r="D107" s="1135"/>
      <c r="E107" s="1126"/>
      <c r="F107" s="1147"/>
      <c r="G107" s="317" t="s">
        <v>14</v>
      </c>
      <c r="H107" s="316">
        <f t="shared" si="24"/>
        <v>537000</v>
      </c>
      <c r="I107" s="315">
        <f t="shared" si="25"/>
        <v>537000</v>
      </c>
      <c r="J107" s="315">
        <v>0</v>
      </c>
      <c r="K107" s="315">
        <v>537000</v>
      </c>
      <c r="L107" s="315">
        <f t="shared" si="26"/>
        <v>0</v>
      </c>
      <c r="M107" s="315">
        <v>0</v>
      </c>
      <c r="N107" s="315">
        <v>0</v>
      </c>
    </row>
    <row r="108" spans="1:14" s="298" customFormat="1" ht="15" customHeight="1">
      <c r="A108" s="1181"/>
      <c r="B108" s="1213"/>
      <c r="C108" s="1180"/>
      <c r="D108" s="1214"/>
      <c r="E108" s="1128"/>
      <c r="F108" s="1148"/>
      <c r="G108" s="317" t="s">
        <v>15</v>
      </c>
      <c r="H108" s="316">
        <f t="shared" si="24"/>
        <v>537000</v>
      </c>
      <c r="I108" s="315">
        <f t="shared" si="25"/>
        <v>537000</v>
      </c>
      <c r="J108" s="315">
        <f>J106+J107</f>
        <v>0</v>
      </c>
      <c r="K108" s="315">
        <f>K106+K107</f>
        <v>537000</v>
      </c>
      <c r="L108" s="315">
        <f t="shared" si="26"/>
        <v>0</v>
      </c>
      <c r="M108" s="315">
        <f>M106+M107</f>
        <v>0</v>
      </c>
      <c r="N108" s="315">
        <f>N106+N107</f>
        <v>0</v>
      </c>
    </row>
    <row r="109" spans="1:14" s="372" customFormat="1" ht="15" hidden="1" customHeight="1">
      <c r="A109" s="1215" t="s">
        <v>279</v>
      </c>
      <c r="B109" s="1216"/>
      <c r="C109" s="1216"/>
      <c r="D109" s="1216"/>
      <c r="E109" s="1216"/>
      <c r="F109" s="1216"/>
      <c r="G109" s="375" t="s">
        <v>13</v>
      </c>
      <c r="H109" s="374">
        <f t="shared" si="24"/>
        <v>997472</v>
      </c>
      <c r="I109" s="373">
        <f t="shared" si="25"/>
        <v>997472</v>
      </c>
      <c r="J109" s="373">
        <f t="shared" ref="J109:K111" si="31">J112+J121</f>
        <v>0</v>
      </c>
      <c r="K109" s="373">
        <f t="shared" si="31"/>
        <v>997472</v>
      </c>
      <c r="L109" s="373">
        <f t="shared" si="26"/>
        <v>0</v>
      </c>
      <c r="M109" s="373">
        <f t="shared" ref="M109:N111" si="32">M112+M121</f>
        <v>0</v>
      </c>
      <c r="N109" s="373">
        <f t="shared" si="32"/>
        <v>0</v>
      </c>
    </row>
    <row r="110" spans="1:14" s="372" customFormat="1" ht="15" hidden="1" customHeight="1">
      <c r="A110" s="1217"/>
      <c r="B110" s="1218"/>
      <c r="C110" s="1218"/>
      <c r="D110" s="1218"/>
      <c r="E110" s="1218"/>
      <c r="F110" s="1218"/>
      <c r="G110" s="375" t="s">
        <v>14</v>
      </c>
      <c r="H110" s="374">
        <f t="shared" si="24"/>
        <v>0</v>
      </c>
      <c r="I110" s="373">
        <f t="shared" si="25"/>
        <v>0</v>
      </c>
      <c r="J110" s="373">
        <f t="shared" si="31"/>
        <v>0</v>
      </c>
      <c r="K110" s="373">
        <f t="shared" si="31"/>
        <v>0</v>
      </c>
      <c r="L110" s="373">
        <f t="shared" si="26"/>
        <v>0</v>
      </c>
      <c r="M110" s="373">
        <f t="shared" si="32"/>
        <v>0</v>
      </c>
      <c r="N110" s="373">
        <f t="shared" si="32"/>
        <v>0</v>
      </c>
    </row>
    <row r="111" spans="1:14" s="372" customFormat="1" ht="15" hidden="1" customHeight="1">
      <c r="A111" s="1219"/>
      <c r="B111" s="1220"/>
      <c r="C111" s="1220"/>
      <c r="D111" s="1220"/>
      <c r="E111" s="1220"/>
      <c r="F111" s="1220"/>
      <c r="G111" s="375" t="s">
        <v>15</v>
      </c>
      <c r="H111" s="374">
        <f t="shared" si="24"/>
        <v>997472</v>
      </c>
      <c r="I111" s="373">
        <f t="shared" si="25"/>
        <v>997472</v>
      </c>
      <c r="J111" s="373">
        <f t="shared" si="31"/>
        <v>0</v>
      </c>
      <c r="K111" s="373">
        <f t="shared" si="31"/>
        <v>997472</v>
      </c>
      <c r="L111" s="373">
        <f t="shared" si="26"/>
        <v>0</v>
      </c>
      <c r="M111" s="373">
        <f t="shared" si="32"/>
        <v>0</v>
      </c>
      <c r="N111" s="373">
        <f t="shared" si="32"/>
        <v>0</v>
      </c>
    </row>
    <row r="112" spans="1:14" s="298" customFormat="1" ht="15" hidden="1" customHeight="1">
      <c r="A112" s="1168" t="s">
        <v>271</v>
      </c>
      <c r="B112" s="1169"/>
      <c r="C112" s="1170" t="s">
        <v>277</v>
      </c>
      <c r="D112" s="1171"/>
      <c r="E112" s="1124" t="s">
        <v>752</v>
      </c>
      <c r="F112" s="1146"/>
      <c r="G112" s="317" t="s">
        <v>13</v>
      </c>
      <c r="H112" s="316">
        <f t="shared" si="24"/>
        <v>942472</v>
      </c>
      <c r="I112" s="315">
        <f t="shared" si="25"/>
        <v>942472</v>
      </c>
      <c r="J112" s="315">
        <f t="shared" ref="J112:K114" si="33">J115+J118</f>
        <v>0</v>
      </c>
      <c r="K112" s="315">
        <f t="shared" si="33"/>
        <v>942472</v>
      </c>
      <c r="L112" s="315">
        <f t="shared" si="26"/>
        <v>0</v>
      </c>
      <c r="M112" s="315">
        <f t="shared" ref="M112:N114" si="34">M115+M118</f>
        <v>0</v>
      </c>
      <c r="N112" s="315">
        <f t="shared" si="34"/>
        <v>0</v>
      </c>
    </row>
    <row r="113" spans="1:14" s="298" customFormat="1" ht="15" hidden="1" customHeight="1">
      <c r="A113" s="1132"/>
      <c r="B113" s="1133"/>
      <c r="C113" s="1134"/>
      <c r="D113" s="1135"/>
      <c r="E113" s="1126"/>
      <c r="F113" s="1147"/>
      <c r="G113" s="317" t="s">
        <v>14</v>
      </c>
      <c r="H113" s="316">
        <f t="shared" si="24"/>
        <v>0</v>
      </c>
      <c r="I113" s="315">
        <f t="shared" si="25"/>
        <v>0</v>
      </c>
      <c r="J113" s="315">
        <f t="shared" si="33"/>
        <v>0</v>
      </c>
      <c r="K113" s="315">
        <f t="shared" si="33"/>
        <v>0</v>
      </c>
      <c r="L113" s="315">
        <f t="shared" si="26"/>
        <v>0</v>
      </c>
      <c r="M113" s="315">
        <f t="shared" si="34"/>
        <v>0</v>
      </c>
      <c r="N113" s="315">
        <f t="shared" si="34"/>
        <v>0</v>
      </c>
    </row>
    <row r="114" spans="1:14" s="298" customFormat="1" ht="15" hidden="1" customHeight="1">
      <c r="A114" s="1132"/>
      <c r="B114" s="1133"/>
      <c r="C114" s="1134"/>
      <c r="D114" s="1135"/>
      <c r="E114" s="1128"/>
      <c r="F114" s="1148"/>
      <c r="G114" s="317" t="s">
        <v>15</v>
      </c>
      <c r="H114" s="316">
        <f t="shared" si="24"/>
        <v>942472</v>
      </c>
      <c r="I114" s="315">
        <f t="shared" si="25"/>
        <v>942472</v>
      </c>
      <c r="J114" s="315">
        <f t="shared" si="33"/>
        <v>0</v>
      </c>
      <c r="K114" s="315">
        <f t="shared" si="33"/>
        <v>942472</v>
      </c>
      <c r="L114" s="315">
        <f t="shared" si="26"/>
        <v>0</v>
      </c>
      <c r="M114" s="315">
        <f t="shared" si="34"/>
        <v>0</v>
      </c>
      <c r="N114" s="315">
        <f t="shared" si="34"/>
        <v>0</v>
      </c>
    </row>
    <row r="115" spans="1:14" s="376" customFormat="1" ht="15" hidden="1" customHeight="1">
      <c r="A115" s="1228"/>
      <c r="B115" s="1229"/>
      <c r="C115" s="1230"/>
      <c r="D115" s="1231"/>
      <c r="E115" s="1232" t="s">
        <v>751</v>
      </c>
      <c r="F115" s="1233"/>
      <c r="G115" s="379" t="s">
        <v>13</v>
      </c>
      <c r="H115" s="378">
        <f t="shared" si="24"/>
        <v>871350</v>
      </c>
      <c r="I115" s="377">
        <f t="shared" si="25"/>
        <v>871350</v>
      </c>
      <c r="J115" s="377">
        <v>0</v>
      </c>
      <c r="K115" s="377">
        <v>871350</v>
      </c>
      <c r="L115" s="377">
        <f t="shared" si="26"/>
        <v>0</v>
      </c>
      <c r="M115" s="377">
        <v>0</v>
      </c>
      <c r="N115" s="377">
        <v>0</v>
      </c>
    </row>
    <row r="116" spans="1:14" s="376" customFormat="1" ht="15" hidden="1" customHeight="1">
      <c r="A116" s="1228"/>
      <c r="B116" s="1229"/>
      <c r="C116" s="1230"/>
      <c r="D116" s="1231"/>
      <c r="E116" s="1234"/>
      <c r="F116" s="1235"/>
      <c r="G116" s="379" t="s">
        <v>14</v>
      </c>
      <c r="H116" s="378">
        <f t="shared" si="24"/>
        <v>0</v>
      </c>
      <c r="I116" s="377">
        <f t="shared" si="25"/>
        <v>0</v>
      </c>
      <c r="J116" s="377">
        <v>0</v>
      </c>
      <c r="K116" s="377">
        <v>0</v>
      </c>
      <c r="L116" s="377">
        <f t="shared" si="26"/>
        <v>0</v>
      </c>
      <c r="M116" s="377">
        <v>0</v>
      </c>
      <c r="N116" s="377">
        <v>0</v>
      </c>
    </row>
    <row r="117" spans="1:14" s="376" customFormat="1" ht="15" hidden="1" customHeight="1">
      <c r="A117" s="1228"/>
      <c r="B117" s="1229"/>
      <c r="C117" s="1230"/>
      <c r="D117" s="1231"/>
      <c r="E117" s="1236"/>
      <c r="F117" s="1237"/>
      <c r="G117" s="379" t="s">
        <v>15</v>
      </c>
      <c r="H117" s="378">
        <f t="shared" si="24"/>
        <v>871350</v>
      </c>
      <c r="I117" s="377">
        <f t="shared" si="25"/>
        <v>871350</v>
      </c>
      <c r="J117" s="377">
        <f>J115+J116</f>
        <v>0</v>
      </c>
      <c r="K117" s="377">
        <f>K115+K116</f>
        <v>871350</v>
      </c>
      <c r="L117" s="377">
        <f t="shared" si="26"/>
        <v>0</v>
      </c>
      <c r="M117" s="377">
        <f>M115+M116</f>
        <v>0</v>
      </c>
      <c r="N117" s="377">
        <f>N115+N116</f>
        <v>0</v>
      </c>
    </row>
    <row r="118" spans="1:14" s="376" customFormat="1" ht="15" hidden="1" customHeight="1">
      <c r="A118" s="1228"/>
      <c r="B118" s="1229"/>
      <c r="C118" s="1230"/>
      <c r="D118" s="1231"/>
      <c r="E118" s="1232" t="s">
        <v>760</v>
      </c>
      <c r="F118" s="1233"/>
      <c r="G118" s="379" t="s">
        <v>13</v>
      </c>
      <c r="H118" s="378">
        <f t="shared" si="24"/>
        <v>71122</v>
      </c>
      <c r="I118" s="377">
        <f t="shared" si="25"/>
        <v>71122</v>
      </c>
      <c r="J118" s="377">
        <v>0</v>
      </c>
      <c r="K118" s="377">
        <v>71122</v>
      </c>
      <c r="L118" s="377">
        <f t="shared" si="26"/>
        <v>0</v>
      </c>
      <c r="M118" s="377">
        <v>0</v>
      </c>
      <c r="N118" s="377">
        <v>0</v>
      </c>
    </row>
    <row r="119" spans="1:14" s="376" customFormat="1" ht="15" hidden="1" customHeight="1">
      <c r="A119" s="1228"/>
      <c r="B119" s="1229"/>
      <c r="C119" s="1230"/>
      <c r="D119" s="1231"/>
      <c r="E119" s="1234"/>
      <c r="F119" s="1235"/>
      <c r="G119" s="379" t="s">
        <v>14</v>
      </c>
      <c r="H119" s="378">
        <f t="shared" si="24"/>
        <v>0</v>
      </c>
      <c r="I119" s="377">
        <f t="shared" si="25"/>
        <v>0</v>
      </c>
      <c r="J119" s="377">
        <v>0</v>
      </c>
      <c r="K119" s="377">
        <v>0</v>
      </c>
      <c r="L119" s="377">
        <f t="shared" si="26"/>
        <v>0</v>
      </c>
      <c r="M119" s="377">
        <v>0</v>
      </c>
      <c r="N119" s="377">
        <v>0</v>
      </c>
    </row>
    <row r="120" spans="1:14" s="376" customFormat="1" ht="15" hidden="1" customHeight="1">
      <c r="A120" s="1228"/>
      <c r="B120" s="1229"/>
      <c r="C120" s="1230"/>
      <c r="D120" s="1231"/>
      <c r="E120" s="1236"/>
      <c r="F120" s="1237"/>
      <c r="G120" s="379" t="s">
        <v>15</v>
      </c>
      <c r="H120" s="378">
        <f t="shared" si="24"/>
        <v>71122</v>
      </c>
      <c r="I120" s="377">
        <f t="shared" si="25"/>
        <v>71122</v>
      </c>
      <c r="J120" s="377">
        <f>J118+J119</f>
        <v>0</v>
      </c>
      <c r="K120" s="377">
        <f>K118+K119</f>
        <v>71122</v>
      </c>
      <c r="L120" s="377">
        <f t="shared" si="26"/>
        <v>0</v>
      </c>
      <c r="M120" s="377">
        <f>M118+M119</f>
        <v>0</v>
      </c>
      <c r="N120" s="377">
        <f>N118+N119</f>
        <v>0</v>
      </c>
    </row>
    <row r="121" spans="1:14" s="298" customFormat="1" ht="15" hidden="1" customHeight="1">
      <c r="A121" s="1132"/>
      <c r="B121" s="1133"/>
      <c r="C121" s="1134"/>
      <c r="D121" s="1135"/>
      <c r="E121" s="1124" t="s">
        <v>759</v>
      </c>
      <c r="F121" s="1146"/>
      <c r="G121" s="317" t="s">
        <v>13</v>
      </c>
      <c r="H121" s="316">
        <f t="shared" si="24"/>
        <v>55000</v>
      </c>
      <c r="I121" s="315">
        <f t="shared" si="25"/>
        <v>55000</v>
      </c>
      <c r="J121" s="315">
        <v>0</v>
      </c>
      <c r="K121" s="315">
        <v>55000</v>
      </c>
      <c r="L121" s="315">
        <f t="shared" si="26"/>
        <v>0</v>
      </c>
      <c r="M121" s="315">
        <v>0</v>
      </c>
      <c r="N121" s="315">
        <v>0</v>
      </c>
    </row>
    <row r="122" spans="1:14" s="298" customFormat="1" ht="15" hidden="1" customHeight="1">
      <c r="A122" s="1132"/>
      <c r="B122" s="1133"/>
      <c r="C122" s="1134"/>
      <c r="D122" s="1135"/>
      <c r="E122" s="1126"/>
      <c r="F122" s="1147"/>
      <c r="G122" s="317" t="s">
        <v>14</v>
      </c>
      <c r="H122" s="316">
        <f t="shared" si="24"/>
        <v>0</v>
      </c>
      <c r="I122" s="315">
        <f t="shared" si="25"/>
        <v>0</v>
      </c>
      <c r="J122" s="315">
        <v>0</v>
      </c>
      <c r="K122" s="315">
        <v>0</v>
      </c>
      <c r="L122" s="315">
        <f t="shared" si="26"/>
        <v>0</v>
      </c>
      <c r="M122" s="315">
        <v>0</v>
      </c>
      <c r="N122" s="315">
        <v>0</v>
      </c>
    </row>
    <row r="123" spans="1:14" s="298" customFormat="1" ht="15" hidden="1" customHeight="1">
      <c r="A123" s="1181"/>
      <c r="B123" s="1213"/>
      <c r="C123" s="1180"/>
      <c r="D123" s="1214"/>
      <c r="E123" s="1128"/>
      <c r="F123" s="1148"/>
      <c r="G123" s="317" t="s">
        <v>15</v>
      </c>
      <c r="H123" s="316">
        <f t="shared" si="24"/>
        <v>55000</v>
      </c>
      <c r="I123" s="315">
        <f t="shared" si="25"/>
        <v>55000</v>
      </c>
      <c r="J123" s="315">
        <f>J121+J122</f>
        <v>0</v>
      </c>
      <c r="K123" s="315">
        <f>K121+K122</f>
        <v>55000</v>
      </c>
      <c r="L123" s="315">
        <f t="shared" si="26"/>
        <v>0</v>
      </c>
      <c r="M123" s="315">
        <f>M121+M122</f>
        <v>0</v>
      </c>
      <c r="N123" s="315">
        <f>N121+N122</f>
        <v>0</v>
      </c>
    </row>
    <row r="124" spans="1:14" s="372" customFormat="1" ht="15" hidden="1" customHeight="1">
      <c r="A124" s="1215" t="s">
        <v>278</v>
      </c>
      <c r="B124" s="1216"/>
      <c r="C124" s="1216"/>
      <c r="D124" s="1216"/>
      <c r="E124" s="1216"/>
      <c r="F124" s="1216"/>
      <c r="G124" s="375" t="s">
        <v>13</v>
      </c>
      <c r="H124" s="374">
        <f t="shared" si="24"/>
        <v>1183900</v>
      </c>
      <c r="I124" s="373">
        <f t="shared" si="25"/>
        <v>1183900</v>
      </c>
      <c r="J124" s="373">
        <f t="shared" ref="J124:K126" si="35">J127</f>
        <v>0</v>
      </c>
      <c r="K124" s="373">
        <f t="shared" si="35"/>
        <v>1183900</v>
      </c>
      <c r="L124" s="373">
        <f t="shared" si="26"/>
        <v>0</v>
      </c>
      <c r="M124" s="373">
        <f t="shared" ref="M124:N126" si="36">M127</f>
        <v>0</v>
      </c>
      <c r="N124" s="373">
        <f t="shared" si="36"/>
        <v>0</v>
      </c>
    </row>
    <row r="125" spans="1:14" s="372" customFormat="1" ht="15" hidden="1" customHeight="1">
      <c r="A125" s="1217"/>
      <c r="B125" s="1218"/>
      <c r="C125" s="1218"/>
      <c r="D125" s="1218"/>
      <c r="E125" s="1218"/>
      <c r="F125" s="1218"/>
      <c r="G125" s="375" t="s">
        <v>14</v>
      </c>
      <c r="H125" s="374">
        <f t="shared" si="24"/>
        <v>0</v>
      </c>
      <c r="I125" s="373">
        <f t="shared" si="25"/>
        <v>0</v>
      </c>
      <c r="J125" s="373">
        <f t="shared" si="35"/>
        <v>0</v>
      </c>
      <c r="K125" s="373">
        <f t="shared" si="35"/>
        <v>0</v>
      </c>
      <c r="L125" s="373">
        <f t="shared" si="26"/>
        <v>0</v>
      </c>
      <c r="M125" s="373">
        <f t="shared" si="36"/>
        <v>0</v>
      </c>
      <c r="N125" s="373">
        <f t="shared" si="36"/>
        <v>0</v>
      </c>
    </row>
    <row r="126" spans="1:14" s="372" customFormat="1" ht="15" hidden="1" customHeight="1">
      <c r="A126" s="1219"/>
      <c r="B126" s="1220"/>
      <c r="C126" s="1220"/>
      <c r="D126" s="1220"/>
      <c r="E126" s="1220"/>
      <c r="F126" s="1220"/>
      <c r="G126" s="375" t="s">
        <v>15</v>
      </c>
      <c r="H126" s="374">
        <f t="shared" si="24"/>
        <v>1183900</v>
      </c>
      <c r="I126" s="373">
        <f t="shared" si="25"/>
        <v>1183900</v>
      </c>
      <c r="J126" s="373">
        <f t="shared" si="35"/>
        <v>0</v>
      </c>
      <c r="K126" s="373">
        <f t="shared" si="35"/>
        <v>1183900</v>
      </c>
      <c r="L126" s="373">
        <f t="shared" si="26"/>
        <v>0</v>
      </c>
      <c r="M126" s="373">
        <f t="shared" si="36"/>
        <v>0</v>
      </c>
      <c r="N126" s="373">
        <f t="shared" si="36"/>
        <v>0</v>
      </c>
    </row>
    <row r="127" spans="1:14" s="298" customFormat="1" ht="15" hidden="1" customHeight="1">
      <c r="A127" s="1168" t="s">
        <v>271</v>
      </c>
      <c r="B127" s="1169"/>
      <c r="C127" s="1170" t="s">
        <v>277</v>
      </c>
      <c r="D127" s="1171"/>
      <c r="E127" s="1124" t="s">
        <v>743</v>
      </c>
      <c r="F127" s="1146"/>
      <c r="G127" s="317" t="s">
        <v>13</v>
      </c>
      <c r="H127" s="316">
        <f t="shared" si="24"/>
        <v>1183900</v>
      </c>
      <c r="I127" s="315">
        <f t="shared" si="25"/>
        <v>1183900</v>
      </c>
      <c r="J127" s="315">
        <v>0</v>
      </c>
      <c r="K127" s="315">
        <v>1183900</v>
      </c>
      <c r="L127" s="315">
        <f t="shared" si="26"/>
        <v>0</v>
      </c>
      <c r="M127" s="315">
        <v>0</v>
      </c>
      <c r="N127" s="315">
        <v>0</v>
      </c>
    </row>
    <row r="128" spans="1:14" s="298" customFormat="1" ht="15" hidden="1" customHeight="1">
      <c r="A128" s="1132"/>
      <c r="B128" s="1133"/>
      <c r="C128" s="1134"/>
      <c r="D128" s="1135"/>
      <c r="E128" s="1126"/>
      <c r="F128" s="1147"/>
      <c r="G128" s="317" t="s">
        <v>14</v>
      </c>
      <c r="H128" s="316">
        <f t="shared" ref="H128:H159" si="37">I128+L128</f>
        <v>0</v>
      </c>
      <c r="I128" s="315">
        <f t="shared" ref="I128:I159" si="38">J128+K128</f>
        <v>0</v>
      </c>
      <c r="J128" s="315">
        <v>0</v>
      </c>
      <c r="K128" s="315">
        <v>0</v>
      </c>
      <c r="L128" s="315">
        <f t="shared" ref="L128:L159" si="39">M128+N128</f>
        <v>0</v>
      </c>
      <c r="M128" s="315">
        <v>0</v>
      </c>
      <c r="N128" s="315">
        <v>0</v>
      </c>
    </row>
    <row r="129" spans="1:14" s="298" customFormat="1" ht="15" hidden="1" customHeight="1">
      <c r="A129" s="1181"/>
      <c r="B129" s="1213"/>
      <c r="C129" s="1180"/>
      <c r="D129" s="1214"/>
      <c r="E129" s="1128"/>
      <c r="F129" s="1148"/>
      <c r="G129" s="317" t="s">
        <v>15</v>
      </c>
      <c r="H129" s="316">
        <f t="shared" si="37"/>
        <v>1183900</v>
      </c>
      <c r="I129" s="315">
        <f t="shared" si="38"/>
        <v>1183900</v>
      </c>
      <c r="J129" s="315">
        <f>J127+J128</f>
        <v>0</v>
      </c>
      <c r="K129" s="315">
        <f>K127+K128</f>
        <v>1183900</v>
      </c>
      <c r="L129" s="315">
        <f t="shared" si="39"/>
        <v>0</v>
      </c>
      <c r="M129" s="315">
        <f>M127+M128</f>
        <v>0</v>
      </c>
      <c r="N129" s="315">
        <f>N127+N128</f>
        <v>0</v>
      </c>
    </row>
    <row r="130" spans="1:14" s="372" customFormat="1" ht="15" hidden="1" customHeight="1">
      <c r="A130" s="1215" t="s">
        <v>758</v>
      </c>
      <c r="B130" s="1216"/>
      <c r="C130" s="1216"/>
      <c r="D130" s="1216"/>
      <c r="E130" s="1216"/>
      <c r="F130" s="1216"/>
      <c r="G130" s="375" t="s">
        <v>13</v>
      </c>
      <c r="H130" s="374">
        <f t="shared" si="37"/>
        <v>1090000</v>
      </c>
      <c r="I130" s="373">
        <f t="shared" si="38"/>
        <v>1090000</v>
      </c>
      <c r="J130" s="373">
        <f t="shared" ref="J130:K132" si="40">J133</f>
        <v>0</v>
      </c>
      <c r="K130" s="373">
        <f t="shared" si="40"/>
        <v>1090000</v>
      </c>
      <c r="L130" s="373">
        <f t="shared" si="39"/>
        <v>0</v>
      </c>
      <c r="M130" s="373">
        <f t="shared" ref="M130:N132" si="41">M133</f>
        <v>0</v>
      </c>
      <c r="N130" s="373">
        <f t="shared" si="41"/>
        <v>0</v>
      </c>
    </row>
    <row r="131" spans="1:14" s="372" customFormat="1" ht="15" hidden="1" customHeight="1">
      <c r="A131" s="1217"/>
      <c r="B131" s="1218"/>
      <c r="C131" s="1218"/>
      <c r="D131" s="1218"/>
      <c r="E131" s="1218"/>
      <c r="F131" s="1218"/>
      <c r="G131" s="375" t="s">
        <v>14</v>
      </c>
      <c r="H131" s="374">
        <f t="shared" si="37"/>
        <v>0</v>
      </c>
      <c r="I131" s="373">
        <f t="shared" si="38"/>
        <v>0</v>
      </c>
      <c r="J131" s="373">
        <f t="shared" si="40"/>
        <v>0</v>
      </c>
      <c r="K131" s="373">
        <f t="shared" si="40"/>
        <v>0</v>
      </c>
      <c r="L131" s="373">
        <f t="shared" si="39"/>
        <v>0</v>
      </c>
      <c r="M131" s="373">
        <f t="shared" si="41"/>
        <v>0</v>
      </c>
      <c r="N131" s="373">
        <f t="shared" si="41"/>
        <v>0</v>
      </c>
    </row>
    <row r="132" spans="1:14" s="372" customFormat="1" ht="15" hidden="1" customHeight="1">
      <c r="A132" s="1219"/>
      <c r="B132" s="1220"/>
      <c r="C132" s="1220"/>
      <c r="D132" s="1220"/>
      <c r="E132" s="1220"/>
      <c r="F132" s="1220"/>
      <c r="G132" s="375" t="s">
        <v>15</v>
      </c>
      <c r="H132" s="374">
        <f t="shared" si="37"/>
        <v>1090000</v>
      </c>
      <c r="I132" s="373">
        <f t="shared" si="38"/>
        <v>1090000</v>
      </c>
      <c r="J132" s="373">
        <f t="shared" si="40"/>
        <v>0</v>
      </c>
      <c r="K132" s="373">
        <f t="shared" si="40"/>
        <v>1090000</v>
      </c>
      <c r="L132" s="373">
        <f t="shared" si="39"/>
        <v>0</v>
      </c>
      <c r="M132" s="373">
        <f t="shared" si="41"/>
        <v>0</v>
      </c>
      <c r="N132" s="373">
        <f t="shared" si="41"/>
        <v>0</v>
      </c>
    </row>
    <row r="133" spans="1:14" s="298" customFormat="1" ht="15" hidden="1" customHeight="1">
      <c r="A133" s="1168" t="s">
        <v>271</v>
      </c>
      <c r="B133" s="1169"/>
      <c r="C133" s="1170" t="s">
        <v>280</v>
      </c>
      <c r="D133" s="1171"/>
      <c r="E133" s="1124" t="s">
        <v>743</v>
      </c>
      <c r="F133" s="1146"/>
      <c r="G133" s="317" t="s">
        <v>13</v>
      </c>
      <c r="H133" s="316">
        <f t="shared" si="37"/>
        <v>1090000</v>
      </c>
      <c r="I133" s="315">
        <f t="shared" si="38"/>
        <v>1090000</v>
      </c>
      <c r="J133" s="315">
        <v>0</v>
      </c>
      <c r="K133" s="315">
        <v>1090000</v>
      </c>
      <c r="L133" s="315">
        <f t="shared" si="39"/>
        <v>0</v>
      </c>
      <c r="M133" s="315">
        <v>0</v>
      </c>
      <c r="N133" s="315">
        <v>0</v>
      </c>
    </row>
    <row r="134" spans="1:14" s="298" customFormat="1" ht="15" hidden="1" customHeight="1">
      <c r="A134" s="1132"/>
      <c r="B134" s="1133"/>
      <c r="C134" s="1134"/>
      <c r="D134" s="1135"/>
      <c r="E134" s="1126"/>
      <c r="F134" s="1147"/>
      <c r="G134" s="317" t="s">
        <v>14</v>
      </c>
      <c r="H134" s="316">
        <f t="shared" si="37"/>
        <v>0</v>
      </c>
      <c r="I134" s="315">
        <f t="shared" si="38"/>
        <v>0</v>
      </c>
      <c r="J134" s="315">
        <v>0</v>
      </c>
      <c r="K134" s="315">
        <v>0</v>
      </c>
      <c r="L134" s="315">
        <f t="shared" si="39"/>
        <v>0</v>
      </c>
      <c r="M134" s="315">
        <v>0</v>
      </c>
      <c r="N134" s="315">
        <v>0</v>
      </c>
    </row>
    <row r="135" spans="1:14" s="298" customFormat="1" ht="15" hidden="1" customHeight="1">
      <c r="A135" s="1181"/>
      <c r="B135" s="1213"/>
      <c r="C135" s="1180"/>
      <c r="D135" s="1214"/>
      <c r="E135" s="1128"/>
      <c r="F135" s="1148"/>
      <c r="G135" s="317" t="s">
        <v>15</v>
      </c>
      <c r="H135" s="316">
        <f t="shared" si="37"/>
        <v>1090000</v>
      </c>
      <c r="I135" s="315">
        <f t="shared" si="38"/>
        <v>1090000</v>
      </c>
      <c r="J135" s="315">
        <f>J133+J134</f>
        <v>0</v>
      </c>
      <c r="K135" s="315">
        <f>K133+K134</f>
        <v>1090000</v>
      </c>
      <c r="L135" s="315">
        <f t="shared" si="39"/>
        <v>0</v>
      </c>
      <c r="M135" s="315">
        <f>M133+M134</f>
        <v>0</v>
      </c>
      <c r="N135" s="315">
        <f>N133+N134</f>
        <v>0</v>
      </c>
    </row>
    <row r="136" spans="1:14" s="372" customFormat="1" ht="15" customHeight="1">
      <c r="A136" s="1215" t="s">
        <v>757</v>
      </c>
      <c r="B136" s="1216"/>
      <c r="C136" s="1216"/>
      <c r="D136" s="1216"/>
      <c r="E136" s="1216"/>
      <c r="F136" s="1216"/>
      <c r="G136" s="375" t="s">
        <v>13</v>
      </c>
      <c r="H136" s="374">
        <f t="shared" si="37"/>
        <v>1370000</v>
      </c>
      <c r="I136" s="373">
        <f t="shared" si="38"/>
        <v>1370000</v>
      </c>
      <c r="J136" s="373">
        <f t="shared" ref="J136:K138" si="42">J139</f>
        <v>0</v>
      </c>
      <c r="K136" s="373">
        <f t="shared" si="42"/>
        <v>1370000</v>
      </c>
      <c r="L136" s="373">
        <f t="shared" si="39"/>
        <v>0</v>
      </c>
      <c r="M136" s="373">
        <f t="shared" ref="M136:N138" si="43">M139</f>
        <v>0</v>
      </c>
      <c r="N136" s="373">
        <f t="shared" si="43"/>
        <v>0</v>
      </c>
    </row>
    <row r="137" spans="1:14" s="372" customFormat="1" ht="15" customHeight="1">
      <c r="A137" s="1217"/>
      <c r="B137" s="1218"/>
      <c r="C137" s="1218"/>
      <c r="D137" s="1218"/>
      <c r="E137" s="1218"/>
      <c r="F137" s="1218"/>
      <c r="G137" s="375" t="s">
        <v>14</v>
      </c>
      <c r="H137" s="374">
        <f t="shared" si="37"/>
        <v>2646</v>
      </c>
      <c r="I137" s="373">
        <f t="shared" si="38"/>
        <v>2646</v>
      </c>
      <c r="J137" s="373">
        <f t="shared" si="42"/>
        <v>0</v>
      </c>
      <c r="K137" s="373">
        <f t="shared" si="42"/>
        <v>2646</v>
      </c>
      <c r="L137" s="373">
        <f t="shared" si="39"/>
        <v>0</v>
      </c>
      <c r="M137" s="373">
        <f t="shared" si="43"/>
        <v>0</v>
      </c>
      <c r="N137" s="373">
        <f t="shared" si="43"/>
        <v>0</v>
      </c>
    </row>
    <row r="138" spans="1:14" s="372" customFormat="1" ht="15" customHeight="1">
      <c r="A138" s="1219"/>
      <c r="B138" s="1220"/>
      <c r="C138" s="1220"/>
      <c r="D138" s="1220"/>
      <c r="E138" s="1220"/>
      <c r="F138" s="1220"/>
      <c r="G138" s="375" t="s">
        <v>15</v>
      </c>
      <c r="H138" s="374">
        <f t="shared" si="37"/>
        <v>1372646</v>
      </c>
      <c r="I138" s="373">
        <f t="shared" si="38"/>
        <v>1372646</v>
      </c>
      <c r="J138" s="373">
        <f t="shared" si="42"/>
        <v>0</v>
      </c>
      <c r="K138" s="373">
        <f t="shared" si="42"/>
        <v>1372646</v>
      </c>
      <c r="L138" s="373">
        <f t="shared" si="39"/>
        <v>0</v>
      </c>
      <c r="M138" s="373">
        <f t="shared" si="43"/>
        <v>0</v>
      </c>
      <c r="N138" s="373">
        <f t="shared" si="43"/>
        <v>0</v>
      </c>
    </row>
    <row r="139" spans="1:14" s="298" customFormat="1" ht="15" customHeight="1">
      <c r="A139" s="1168" t="s">
        <v>271</v>
      </c>
      <c r="B139" s="1169"/>
      <c r="C139" s="1170" t="s">
        <v>280</v>
      </c>
      <c r="D139" s="1171"/>
      <c r="E139" s="1124" t="s">
        <v>743</v>
      </c>
      <c r="F139" s="1146"/>
      <c r="G139" s="317" t="s">
        <v>13</v>
      </c>
      <c r="H139" s="316">
        <f t="shared" si="37"/>
        <v>1370000</v>
      </c>
      <c r="I139" s="315">
        <f t="shared" si="38"/>
        <v>1370000</v>
      </c>
      <c r="J139" s="315">
        <v>0</v>
      </c>
      <c r="K139" s="315">
        <v>1370000</v>
      </c>
      <c r="L139" s="315">
        <f t="shared" si="39"/>
        <v>0</v>
      </c>
      <c r="M139" s="315">
        <v>0</v>
      </c>
      <c r="N139" s="315">
        <v>0</v>
      </c>
    </row>
    <row r="140" spans="1:14" s="298" customFormat="1" ht="15" customHeight="1">
      <c r="A140" s="1132"/>
      <c r="B140" s="1133"/>
      <c r="C140" s="1134"/>
      <c r="D140" s="1135"/>
      <c r="E140" s="1126"/>
      <c r="F140" s="1147"/>
      <c r="G140" s="317" t="s">
        <v>14</v>
      </c>
      <c r="H140" s="316">
        <f t="shared" si="37"/>
        <v>2646</v>
      </c>
      <c r="I140" s="315">
        <f t="shared" si="38"/>
        <v>2646</v>
      </c>
      <c r="J140" s="315">
        <v>0</v>
      </c>
      <c r="K140" s="315">
        <v>2646</v>
      </c>
      <c r="L140" s="315">
        <f t="shared" si="39"/>
        <v>0</v>
      </c>
      <c r="M140" s="315">
        <v>0</v>
      </c>
      <c r="N140" s="315">
        <v>0</v>
      </c>
    </row>
    <row r="141" spans="1:14" s="298" customFormat="1" ht="15" customHeight="1">
      <c r="A141" s="1181"/>
      <c r="B141" s="1213"/>
      <c r="C141" s="1180"/>
      <c r="D141" s="1214"/>
      <c r="E141" s="1128"/>
      <c r="F141" s="1148"/>
      <c r="G141" s="317" t="s">
        <v>15</v>
      </c>
      <c r="H141" s="316">
        <f t="shared" si="37"/>
        <v>1372646</v>
      </c>
      <c r="I141" s="315">
        <f t="shared" si="38"/>
        <v>1372646</v>
      </c>
      <c r="J141" s="315">
        <f>J139+J140</f>
        <v>0</v>
      </c>
      <c r="K141" s="315">
        <f>K139+K140</f>
        <v>1372646</v>
      </c>
      <c r="L141" s="315">
        <f t="shared" si="39"/>
        <v>0</v>
      </c>
      <c r="M141" s="315">
        <f>M139+M140</f>
        <v>0</v>
      </c>
      <c r="N141" s="315">
        <f>N139+N140</f>
        <v>0</v>
      </c>
    </row>
    <row r="142" spans="1:14" s="372" customFormat="1" ht="15" hidden="1" customHeight="1">
      <c r="A142" s="1215" t="s">
        <v>756</v>
      </c>
      <c r="B142" s="1216"/>
      <c r="C142" s="1216"/>
      <c r="D142" s="1216"/>
      <c r="E142" s="1216"/>
      <c r="F142" s="1216"/>
      <c r="G142" s="375" t="s">
        <v>755</v>
      </c>
      <c r="H142" s="374">
        <f t="shared" si="37"/>
        <v>1299500</v>
      </c>
      <c r="I142" s="373">
        <f t="shared" si="38"/>
        <v>1299500</v>
      </c>
      <c r="J142" s="373">
        <f t="shared" ref="J142:K144" si="44">J145</f>
        <v>0</v>
      </c>
      <c r="K142" s="373">
        <f t="shared" si="44"/>
        <v>1299500</v>
      </c>
      <c r="L142" s="373">
        <f t="shared" si="39"/>
        <v>0</v>
      </c>
      <c r="M142" s="373">
        <f t="shared" ref="M142:N144" si="45">M145</f>
        <v>0</v>
      </c>
      <c r="N142" s="373">
        <f t="shared" si="45"/>
        <v>0</v>
      </c>
    </row>
    <row r="143" spans="1:14" s="372" customFormat="1" ht="15" hidden="1" customHeight="1">
      <c r="A143" s="1217"/>
      <c r="B143" s="1218"/>
      <c r="C143" s="1218"/>
      <c r="D143" s="1218"/>
      <c r="E143" s="1218"/>
      <c r="F143" s="1218"/>
      <c r="G143" s="375" t="s">
        <v>14</v>
      </c>
      <c r="H143" s="374">
        <f t="shared" si="37"/>
        <v>0</v>
      </c>
      <c r="I143" s="373">
        <f t="shared" si="38"/>
        <v>0</v>
      </c>
      <c r="J143" s="373">
        <f t="shared" si="44"/>
        <v>0</v>
      </c>
      <c r="K143" s="373">
        <f t="shared" si="44"/>
        <v>0</v>
      </c>
      <c r="L143" s="373">
        <f t="shared" si="39"/>
        <v>0</v>
      </c>
      <c r="M143" s="373">
        <f t="shared" si="45"/>
        <v>0</v>
      </c>
      <c r="N143" s="373">
        <f t="shared" si="45"/>
        <v>0</v>
      </c>
    </row>
    <row r="144" spans="1:14" s="372" customFormat="1" ht="15" hidden="1" customHeight="1">
      <c r="A144" s="1219"/>
      <c r="B144" s="1220"/>
      <c r="C144" s="1220"/>
      <c r="D144" s="1220"/>
      <c r="E144" s="1220"/>
      <c r="F144" s="1220"/>
      <c r="G144" s="375" t="s">
        <v>15</v>
      </c>
      <c r="H144" s="374">
        <f t="shared" si="37"/>
        <v>1299500</v>
      </c>
      <c r="I144" s="373">
        <f t="shared" si="38"/>
        <v>1299500</v>
      </c>
      <c r="J144" s="373">
        <f t="shared" si="44"/>
        <v>0</v>
      </c>
      <c r="K144" s="373">
        <f t="shared" si="44"/>
        <v>1299500</v>
      </c>
      <c r="L144" s="373">
        <f t="shared" si="39"/>
        <v>0</v>
      </c>
      <c r="M144" s="373">
        <f t="shared" si="45"/>
        <v>0</v>
      </c>
      <c r="N144" s="373">
        <f t="shared" si="45"/>
        <v>0</v>
      </c>
    </row>
    <row r="145" spans="1:14" s="298" customFormat="1" ht="15" hidden="1" customHeight="1">
      <c r="A145" s="1168" t="s">
        <v>271</v>
      </c>
      <c r="B145" s="1169"/>
      <c r="C145" s="1170" t="s">
        <v>754</v>
      </c>
      <c r="D145" s="1171"/>
      <c r="E145" s="1124" t="s">
        <v>743</v>
      </c>
      <c r="F145" s="1146"/>
      <c r="G145" s="317" t="s">
        <v>13</v>
      </c>
      <c r="H145" s="316">
        <f t="shared" si="37"/>
        <v>1299500</v>
      </c>
      <c r="I145" s="315">
        <f t="shared" si="38"/>
        <v>1299500</v>
      </c>
      <c r="J145" s="315">
        <v>0</v>
      </c>
      <c r="K145" s="315">
        <v>1299500</v>
      </c>
      <c r="L145" s="315">
        <f t="shared" si="39"/>
        <v>0</v>
      </c>
      <c r="M145" s="315">
        <v>0</v>
      </c>
      <c r="N145" s="315">
        <v>0</v>
      </c>
    </row>
    <row r="146" spans="1:14" s="298" customFormat="1" ht="15" hidden="1" customHeight="1">
      <c r="A146" s="1132"/>
      <c r="B146" s="1133"/>
      <c r="C146" s="1134"/>
      <c r="D146" s="1135"/>
      <c r="E146" s="1126"/>
      <c r="F146" s="1147"/>
      <c r="G146" s="317" t="s">
        <v>14</v>
      </c>
      <c r="H146" s="316">
        <f t="shared" si="37"/>
        <v>0</v>
      </c>
      <c r="I146" s="315">
        <f t="shared" si="38"/>
        <v>0</v>
      </c>
      <c r="J146" s="315">
        <v>0</v>
      </c>
      <c r="K146" s="315">
        <v>0</v>
      </c>
      <c r="L146" s="315">
        <f t="shared" si="39"/>
        <v>0</v>
      </c>
      <c r="M146" s="315">
        <v>0</v>
      </c>
      <c r="N146" s="315">
        <v>0</v>
      </c>
    </row>
    <row r="147" spans="1:14" s="298" customFormat="1" ht="15" hidden="1" customHeight="1">
      <c r="A147" s="1181"/>
      <c r="B147" s="1213"/>
      <c r="C147" s="1180"/>
      <c r="D147" s="1214"/>
      <c r="E147" s="1128"/>
      <c r="F147" s="1148"/>
      <c r="G147" s="317" t="s">
        <v>15</v>
      </c>
      <c r="H147" s="316">
        <f t="shared" si="37"/>
        <v>1299500</v>
      </c>
      <c r="I147" s="315">
        <f t="shared" si="38"/>
        <v>1299500</v>
      </c>
      <c r="J147" s="315">
        <f>J145+J146</f>
        <v>0</v>
      </c>
      <c r="K147" s="315">
        <f>K145+K146</f>
        <v>1299500</v>
      </c>
      <c r="L147" s="315">
        <f t="shared" si="39"/>
        <v>0</v>
      </c>
      <c r="M147" s="315">
        <f>M145+M146</f>
        <v>0</v>
      </c>
      <c r="N147" s="315">
        <f>N145+N146</f>
        <v>0</v>
      </c>
    </row>
    <row r="148" spans="1:14" s="372" customFormat="1" ht="15" hidden="1" customHeight="1">
      <c r="A148" s="1215" t="s">
        <v>285</v>
      </c>
      <c r="B148" s="1216"/>
      <c r="C148" s="1216"/>
      <c r="D148" s="1216"/>
      <c r="E148" s="1216"/>
      <c r="F148" s="1216"/>
      <c r="G148" s="375" t="s">
        <v>13</v>
      </c>
      <c r="H148" s="374">
        <f t="shared" si="37"/>
        <v>11884000</v>
      </c>
      <c r="I148" s="373">
        <f t="shared" si="38"/>
        <v>11884000</v>
      </c>
      <c r="J148" s="373">
        <f t="shared" ref="J148:K150" si="46">J151</f>
        <v>0</v>
      </c>
      <c r="K148" s="373">
        <f t="shared" si="46"/>
        <v>11884000</v>
      </c>
      <c r="L148" s="373">
        <f t="shared" si="39"/>
        <v>0</v>
      </c>
      <c r="M148" s="373">
        <f t="shared" ref="M148:N150" si="47">M151</f>
        <v>0</v>
      </c>
      <c r="N148" s="373">
        <f t="shared" si="47"/>
        <v>0</v>
      </c>
    </row>
    <row r="149" spans="1:14" s="372" customFormat="1" ht="15" hidden="1" customHeight="1">
      <c r="A149" s="1217"/>
      <c r="B149" s="1218"/>
      <c r="C149" s="1218"/>
      <c r="D149" s="1218"/>
      <c r="E149" s="1218"/>
      <c r="F149" s="1218"/>
      <c r="G149" s="375" t="s">
        <v>14</v>
      </c>
      <c r="H149" s="374">
        <f t="shared" si="37"/>
        <v>0</v>
      </c>
      <c r="I149" s="373">
        <f t="shared" si="38"/>
        <v>0</v>
      </c>
      <c r="J149" s="373">
        <f t="shared" si="46"/>
        <v>0</v>
      </c>
      <c r="K149" s="373">
        <f t="shared" si="46"/>
        <v>0</v>
      </c>
      <c r="L149" s="373">
        <f t="shared" si="39"/>
        <v>0</v>
      </c>
      <c r="M149" s="373">
        <f t="shared" si="47"/>
        <v>0</v>
      </c>
      <c r="N149" s="373">
        <f t="shared" si="47"/>
        <v>0</v>
      </c>
    </row>
    <row r="150" spans="1:14" s="372" customFormat="1" ht="15" hidden="1" customHeight="1">
      <c r="A150" s="1219"/>
      <c r="B150" s="1220"/>
      <c r="C150" s="1220"/>
      <c r="D150" s="1220"/>
      <c r="E150" s="1220"/>
      <c r="F150" s="1220"/>
      <c r="G150" s="375" t="s">
        <v>15</v>
      </c>
      <c r="H150" s="374">
        <f t="shared" si="37"/>
        <v>11884000</v>
      </c>
      <c r="I150" s="373">
        <f t="shared" si="38"/>
        <v>11884000</v>
      </c>
      <c r="J150" s="373">
        <f t="shared" si="46"/>
        <v>0</v>
      </c>
      <c r="K150" s="373">
        <f t="shared" si="46"/>
        <v>11884000</v>
      </c>
      <c r="L150" s="373">
        <f t="shared" si="39"/>
        <v>0</v>
      </c>
      <c r="M150" s="373">
        <f t="shared" si="47"/>
        <v>0</v>
      </c>
      <c r="N150" s="373">
        <f t="shared" si="47"/>
        <v>0</v>
      </c>
    </row>
    <row r="151" spans="1:14" s="298" customFormat="1" ht="15" hidden="1" customHeight="1">
      <c r="A151" s="1168" t="s">
        <v>271</v>
      </c>
      <c r="B151" s="1169"/>
      <c r="C151" s="1170" t="s">
        <v>283</v>
      </c>
      <c r="D151" s="1171"/>
      <c r="E151" s="1124" t="s">
        <v>752</v>
      </c>
      <c r="F151" s="1146"/>
      <c r="G151" s="317" t="s">
        <v>13</v>
      </c>
      <c r="H151" s="316">
        <f t="shared" si="37"/>
        <v>11884000</v>
      </c>
      <c r="I151" s="315">
        <f t="shared" si="38"/>
        <v>11884000</v>
      </c>
      <c r="J151" s="315">
        <f t="shared" ref="J151:K153" si="48">J154+J157</f>
        <v>0</v>
      </c>
      <c r="K151" s="315">
        <f t="shared" si="48"/>
        <v>11884000</v>
      </c>
      <c r="L151" s="315">
        <f t="shared" si="39"/>
        <v>0</v>
      </c>
      <c r="M151" s="315">
        <f t="shared" ref="M151:N153" si="49">M154+M157</f>
        <v>0</v>
      </c>
      <c r="N151" s="315">
        <f t="shared" si="49"/>
        <v>0</v>
      </c>
    </row>
    <row r="152" spans="1:14" s="298" customFormat="1" ht="15" hidden="1" customHeight="1">
      <c r="A152" s="1132"/>
      <c r="B152" s="1133"/>
      <c r="C152" s="1134"/>
      <c r="D152" s="1135"/>
      <c r="E152" s="1126"/>
      <c r="F152" s="1147"/>
      <c r="G152" s="317" t="s">
        <v>14</v>
      </c>
      <c r="H152" s="316">
        <f t="shared" si="37"/>
        <v>0</v>
      </c>
      <c r="I152" s="315">
        <f t="shared" si="38"/>
        <v>0</v>
      </c>
      <c r="J152" s="315">
        <f t="shared" si="48"/>
        <v>0</v>
      </c>
      <c r="K152" s="315">
        <f t="shared" si="48"/>
        <v>0</v>
      </c>
      <c r="L152" s="315">
        <f t="shared" si="39"/>
        <v>0</v>
      </c>
      <c r="M152" s="315">
        <f t="shared" si="49"/>
        <v>0</v>
      </c>
      <c r="N152" s="315">
        <f t="shared" si="49"/>
        <v>0</v>
      </c>
    </row>
    <row r="153" spans="1:14" s="298" customFormat="1" ht="15" hidden="1" customHeight="1">
      <c r="A153" s="1132"/>
      <c r="B153" s="1133"/>
      <c r="C153" s="1134"/>
      <c r="D153" s="1135"/>
      <c r="E153" s="1128"/>
      <c r="F153" s="1148"/>
      <c r="G153" s="317" t="s">
        <v>15</v>
      </c>
      <c r="H153" s="316">
        <f t="shared" si="37"/>
        <v>11884000</v>
      </c>
      <c r="I153" s="315">
        <f t="shared" si="38"/>
        <v>11884000</v>
      </c>
      <c r="J153" s="315">
        <f t="shared" si="48"/>
        <v>0</v>
      </c>
      <c r="K153" s="315">
        <f t="shared" si="48"/>
        <v>11884000</v>
      </c>
      <c r="L153" s="315">
        <f t="shared" si="39"/>
        <v>0</v>
      </c>
      <c r="M153" s="315">
        <f t="shared" si="49"/>
        <v>0</v>
      </c>
      <c r="N153" s="315">
        <f t="shared" si="49"/>
        <v>0</v>
      </c>
    </row>
    <row r="154" spans="1:14" s="376" customFormat="1" ht="15" hidden="1" customHeight="1">
      <c r="A154" s="1228"/>
      <c r="B154" s="1229"/>
      <c r="C154" s="1230"/>
      <c r="D154" s="1231"/>
      <c r="E154" s="1232" t="s">
        <v>751</v>
      </c>
      <c r="F154" s="1233"/>
      <c r="G154" s="379" t="s">
        <v>13</v>
      </c>
      <c r="H154" s="378">
        <f t="shared" si="37"/>
        <v>9584000</v>
      </c>
      <c r="I154" s="377">
        <f t="shared" si="38"/>
        <v>9584000</v>
      </c>
      <c r="J154" s="377">
        <v>0</v>
      </c>
      <c r="K154" s="377">
        <v>9584000</v>
      </c>
      <c r="L154" s="377">
        <f t="shared" si="39"/>
        <v>0</v>
      </c>
      <c r="M154" s="377">
        <v>0</v>
      </c>
      <c r="N154" s="377">
        <v>0</v>
      </c>
    </row>
    <row r="155" spans="1:14" s="376" customFormat="1" ht="15" hidden="1" customHeight="1">
      <c r="A155" s="1228"/>
      <c r="B155" s="1229"/>
      <c r="C155" s="1230"/>
      <c r="D155" s="1231"/>
      <c r="E155" s="1234"/>
      <c r="F155" s="1235"/>
      <c r="G155" s="379" t="s">
        <v>14</v>
      </c>
      <c r="H155" s="378">
        <f t="shared" si="37"/>
        <v>0</v>
      </c>
      <c r="I155" s="377">
        <f t="shared" si="38"/>
        <v>0</v>
      </c>
      <c r="J155" s="377">
        <v>0</v>
      </c>
      <c r="K155" s="377">
        <v>0</v>
      </c>
      <c r="L155" s="377">
        <f t="shared" si="39"/>
        <v>0</v>
      </c>
      <c r="M155" s="377">
        <v>0</v>
      </c>
      <c r="N155" s="377">
        <v>0</v>
      </c>
    </row>
    <row r="156" spans="1:14" s="376" customFormat="1" ht="15" hidden="1" customHeight="1">
      <c r="A156" s="1228"/>
      <c r="B156" s="1229"/>
      <c r="C156" s="1230"/>
      <c r="D156" s="1231"/>
      <c r="E156" s="1236"/>
      <c r="F156" s="1237"/>
      <c r="G156" s="379" t="s">
        <v>15</v>
      </c>
      <c r="H156" s="378">
        <f t="shared" si="37"/>
        <v>9584000</v>
      </c>
      <c r="I156" s="377">
        <f t="shared" si="38"/>
        <v>9584000</v>
      </c>
      <c r="J156" s="377">
        <f>J154+J155</f>
        <v>0</v>
      </c>
      <c r="K156" s="377">
        <f>K154+K155</f>
        <v>9584000</v>
      </c>
      <c r="L156" s="377">
        <f t="shared" si="39"/>
        <v>0</v>
      </c>
      <c r="M156" s="377">
        <f>M154+M155</f>
        <v>0</v>
      </c>
      <c r="N156" s="377">
        <f>N154+N155</f>
        <v>0</v>
      </c>
    </row>
    <row r="157" spans="1:14" s="376" customFormat="1" ht="15" hidden="1" customHeight="1">
      <c r="A157" s="1228"/>
      <c r="B157" s="1229"/>
      <c r="C157" s="1230"/>
      <c r="D157" s="1231"/>
      <c r="E157" s="1232" t="s">
        <v>753</v>
      </c>
      <c r="F157" s="1233"/>
      <c r="G157" s="379" t="s">
        <v>13</v>
      </c>
      <c r="H157" s="378">
        <f t="shared" si="37"/>
        <v>2300000</v>
      </c>
      <c r="I157" s="377">
        <f t="shared" si="38"/>
        <v>2300000</v>
      </c>
      <c r="J157" s="377">
        <v>0</v>
      </c>
      <c r="K157" s="377">
        <v>2300000</v>
      </c>
      <c r="L157" s="377">
        <f t="shared" si="39"/>
        <v>0</v>
      </c>
      <c r="M157" s="377">
        <v>0</v>
      </c>
      <c r="N157" s="377">
        <v>0</v>
      </c>
    </row>
    <row r="158" spans="1:14" s="376" customFormat="1" ht="15" hidden="1" customHeight="1">
      <c r="A158" s="1228"/>
      <c r="B158" s="1229"/>
      <c r="C158" s="1230"/>
      <c r="D158" s="1231"/>
      <c r="E158" s="1234"/>
      <c r="F158" s="1235"/>
      <c r="G158" s="379" t="s">
        <v>14</v>
      </c>
      <c r="H158" s="378">
        <f t="shared" si="37"/>
        <v>0</v>
      </c>
      <c r="I158" s="377">
        <f t="shared" si="38"/>
        <v>0</v>
      </c>
      <c r="J158" s="377">
        <v>0</v>
      </c>
      <c r="K158" s="377">
        <v>0</v>
      </c>
      <c r="L158" s="377">
        <f t="shared" si="39"/>
        <v>0</v>
      </c>
      <c r="M158" s="377">
        <v>0</v>
      </c>
      <c r="N158" s="377">
        <v>0</v>
      </c>
    </row>
    <row r="159" spans="1:14" s="376" customFormat="1" ht="15" hidden="1" customHeight="1">
      <c r="A159" s="1238"/>
      <c r="B159" s="1239"/>
      <c r="C159" s="1240"/>
      <c r="D159" s="1241"/>
      <c r="E159" s="1236"/>
      <c r="F159" s="1237"/>
      <c r="G159" s="379" t="s">
        <v>15</v>
      </c>
      <c r="H159" s="378">
        <f t="shared" si="37"/>
        <v>2300000</v>
      </c>
      <c r="I159" s="377">
        <f t="shared" si="38"/>
        <v>2300000</v>
      </c>
      <c r="J159" s="377">
        <f>J157+J158</f>
        <v>0</v>
      </c>
      <c r="K159" s="377">
        <f>K157+K158</f>
        <v>2300000</v>
      </c>
      <c r="L159" s="377">
        <f t="shared" si="39"/>
        <v>0</v>
      </c>
      <c r="M159" s="377">
        <f>M157+M158</f>
        <v>0</v>
      </c>
      <c r="N159" s="377">
        <f>N157+N158</f>
        <v>0</v>
      </c>
    </row>
    <row r="160" spans="1:14" s="372" customFormat="1" ht="15" hidden="1" customHeight="1">
      <c r="A160" s="1215" t="s">
        <v>287</v>
      </c>
      <c r="B160" s="1216"/>
      <c r="C160" s="1216"/>
      <c r="D160" s="1216"/>
      <c r="E160" s="1216"/>
      <c r="F160" s="1216"/>
      <c r="G160" s="375" t="s">
        <v>13</v>
      </c>
      <c r="H160" s="374">
        <f t="shared" ref="H160:H191" si="50">I160+L160</f>
        <v>10017300</v>
      </c>
      <c r="I160" s="373">
        <f t="shared" ref="I160:I191" si="51">J160+K160</f>
        <v>10017300</v>
      </c>
      <c r="J160" s="373">
        <f t="shared" ref="J160:K162" si="52">J163</f>
        <v>0</v>
      </c>
      <c r="K160" s="373">
        <f t="shared" si="52"/>
        <v>10017300</v>
      </c>
      <c r="L160" s="373">
        <f t="shared" ref="L160:L168" si="53">M160+N160</f>
        <v>0</v>
      </c>
      <c r="M160" s="373">
        <f t="shared" ref="M160:N162" si="54">M163</f>
        <v>0</v>
      </c>
      <c r="N160" s="373">
        <f t="shared" si="54"/>
        <v>0</v>
      </c>
    </row>
    <row r="161" spans="1:14" s="372" customFormat="1" ht="15" hidden="1" customHeight="1">
      <c r="A161" s="1217"/>
      <c r="B161" s="1218"/>
      <c r="C161" s="1218"/>
      <c r="D161" s="1218"/>
      <c r="E161" s="1218"/>
      <c r="F161" s="1218"/>
      <c r="G161" s="375" t="s">
        <v>14</v>
      </c>
      <c r="H161" s="374">
        <f t="shared" si="50"/>
        <v>0</v>
      </c>
      <c r="I161" s="373">
        <f t="shared" si="51"/>
        <v>0</v>
      </c>
      <c r="J161" s="373">
        <f t="shared" si="52"/>
        <v>0</v>
      </c>
      <c r="K161" s="373">
        <f t="shared" si="52"/>
        <v>0</v>
      </c>
      <c r="L161" s="373">
        <f t="shared" si="53"/>
        <v>0</v>
      </c>
      <c r="M161" s="373">
        <f t="shared" si="54"/>
        <v>0</v>
      </c>
      <c r="N161" s="373">
        <f t="shared" si="54"/>
        <v>0</v>
      </c>
    </row>
    <row r="162" spans="1:14" s="372" customFormat="1" ht="15" hidden="1" customHeight="1">
      <c r="A162" s="1219"/>
      <c r="B162" s="1220"/>
      <c r="C162" s="1220"/>
      <c r="D162" s="1220"/>
      <c r="E162" s="1220"/>
      <c r="F162" s="1220"/>
      <c r="G162" s="375" t="s">
        <v>15</v>
      </c>
      <c r="H162" s="374">
        <f t="shared" si="50"/>
        <v>10017300</v>
      </c>
      <c r="I162" s="373">
        <f t="shared" si="51"/>
        <v>10017300</v>
      </c>
      <c r="J162" s="373">
        <f t="shared" si="52"/>
        <v>0</v>
      </c>
      <c r="K162" s="373">
        <f t="shared" si="52"/>
        <v>10017300</v>
      </c>
      <c r="L162" s="373">
        <f t="shared" si="53"/>
        <v>0</v>
      </c>
      <c r="M162" s="373">
        <f t="shared" si="54"/>
        <v>0</v>
      </c>
      <c r="N162" s="373">
        <f t="shared" si="54"/>
        <v>0</v>
      </c>
    </row>
    <row r="163" spans="1:14" s="298" customFormat="1" ht="15" hidden="1" customHeight="1">
      <c r="A163" s="1168" t="s">
        <v>271</v>
      </c>
      <c r="B163" s="1169"/>
      <c r="C163" s="1170" t="s">
        <v>283</v>
      </c>
      <c r="D163" s="1171"/>
      <c r="E163" s="1124" t="s">
        <v>752</v>
      </c>
      <c r="F163" s="1146"/>
      <c r="G163" s="317" t="s">
        <v>13</v>
      </c>
      <c r="H163" s="316">
        <f t="shared" si="50"/>
        <v>10017300</v>
      </c>
      <c r="I163" s="315">
        <f t="shared" si="51"/>
        <v>10017300</v>
      </c>
      <c r="J163" s="315">
        <f t="shared" ref="J163:K165" si="55">J166+J169</f>
        <v>0</v>
      </c>
      <c r="K163" s="315">
        <f t="shared" si="55"/>
        <v>10017300</v>
      </c>
      <c r="L163" s="315">
        <f t="shared" si="53"/>
        <v>0</v>
      </c>
      <c r="M163" s="315">
        <f t="shared" ref="M163:N165" si="56">M166+M169</f>
        <v>0</v>
      </c>
      <c r="N163" s="315">
        <f t="shared" si="56"/>
        <v>0</v>
      </c>
    </row>
    <row r="164" spans="1:14" s="298" customFormat="1" ht="15" hidden="1" customHeight="1">
      <c r="A164" s="1132"/>
      <c r="B164" s="1133"/>
      <c r="C164" s="1134"/>
      <c r="D164" s="1135"/>
      <c r="E164" s="1126"/>
      <c r="F164" s="1147"/>
      <c r="G164" s="317" t="s">
        <v>14</v>
      </c>
      <c r="H164" s="316">
        <f t="shared" si="50"/>
        <v>0</v>
      </c>
      <c r="I164" s="315">
        <f t="shared" si="51"/>
        <v>0</v>
      </c>
      <c r="J164" s="315">
        <f t="shared" si="55"/>
        <v>0</v>
      </c>
      <c r="K164" s="315">
        <f t="shared" si="55"/>
        <v>0</v>
      </c>
      <c r="L164" s="315">
        <f t="shared" si="53"/>
        <v>0</v>
      </c>
      <c r="M164" s="315">
        <f t="shared" si="56"/>
        <v>0</v>
      </c>
      <c r="N164" s="315">
        <f t="shared" si="56"/>
        <v>0</v>
      </c>
    </row>
    <row r="165" spans="1:14" s="298" customFormat="1" ht="15" hidden="1" customHeight="1">
      <c r="A165" s="1132"/>
      <c r="B165" s="1133"/>
      <c r="C165" s="1134"/>
      <c r="D165" s="1135"/>
      <c r="E165" s="1128"/>
      <c r="F165" s="1148"/>
      <c r="G165" s="317" t="s">
        <v>15</v>
      </c>
      <c r="H165" s="316">
        <f t="shared" si="50"/>
        <v>10017300</v>
      </c>
      <c r="I165" s="315">
        <f t="shared" si="51"/>
        <v>10017300</v>
      </c>
      <c r="J165" s="315">
        <f t="shared" si="55"/>
        <v>0</v>
      </c>
      <c r="K165" s="315">
        <f t="shared" si="55"/>
        <v>10017300</v>
      </c>
      <c r="L165" s="315">
        <f t="shared" si="53"/>
        <v>0</v>
      </c>
      <c r="M165" s="315">
        <f t="shared" si="56"/>
        <v>0</v>
      </c>
      <c r="N165" s="315">
        <f t="shared" si="56"/>
        <v>0</v>
      </c>
    </row>
    <row r="166" spans="1:14" s="376" customFormat="1" ht="15" hidden="1" customHeight="1">
      <c r="A166" s="1228"/>
      <c r="B166" s="1229"/>
      <c r="C166" s="1230"/>
      <c r="D166" s="1231"/>
      <c r="E166" s="1232" t="s">
        <v>751</v>
      </c>
      <c r="F166" s="1233"/>
      <c r="G166" s="379" t="s">
        <v>13</v>
      </c>
      <c r="H166" s="378">
        <f t="shared" si="50"/>
        <v>8617300</v>
      </c>
      <c r="I166" s="377">
        <f t="shared" si="51"/>
        <v>8617300</v>
      </c>
      <c r="J166" s="377">
        <v>0</v>
      </c>
      <c r="K166" s="377">
        <v>8617300</v>
      </c>
      <c r="L166" s="377">
        <f t="shared" si="53"/>
        <v>0</v>
      </c>
      <c r="M166" s="377">
        <v>0</v>
      </c>
      <c r="N166" s="377">
        <v>0</v>
      </c>
    </row>
    <row r="167" spans="1:14" s="376" customFormat="1" ht="15" hidden="1" customHeight="1">
      <c r="A167" s="1228"/>
      <c r="B167" s="1229"/>
      <c r="C167" s="1230"/>
      <c r="D167" s="1231"/>
      <c r="E167" s="1234"/>
      <c r="F167" s="1235"/>
      <c r="G167" s="379" t="s">
        <v>14</v>
      </c>
      <c r="H167" s="378">
        <f t="shared" si="50"/>
        <v>0</v>
      </c>
      <c r="I167" s="377">
        <f t="shared" si="51"/>
        <v>0</v>
      </c>
      <c r="J167" s="377">
        <v>0</v>
      </c>
      <c r="K167" s="377">
        <v>0</v>
      </c>
      <c r="L167" s="377">
        <f t="shared" si="53"/>
        <v>0</v>
      </c>
      <c r="M167" s="377">
        <v>0</v>
      </c>
      <c r="N167" s="377">
        <v>0</v>
      </c>
    </row>
    <row r="168" spans="1:14" s="376" customFormat="1" ht="15" hidden="1" customHeight="1">
      <c r="A168" s="1228"/>
      <c r="B168" s="1229"/>
      <c r="C168" s="1230"/>
      <c r="D168" s="1231"/>
      <c r="E168" s="1236"/>
      <c r="F168" s="1237"/>
      <c r="G168" s="379" t="s">
        <v>15</v>
      </c>
      <c r="H168" s="378">
        <f t="shared" si="50"/>
        <v>8617300</v>
      </c>
      <c r="I168" s="377">
        <f t="shared" si="51"/>
        <v>8617300</v>
      </c>
      <c r="J168" s="377">
        <f>J166+J167</f>
        <v>0</v>
      </c>
      <c r="K168" s="377">
        <f>K166+K167</f>
        <v>8617300</v>
      </c>
      <c r="L168" s="377">
        <f t="shared" si="53"/>
        <v>0</v>
      </c>
      <c r="M168" s="377">
        <f>M166+M167</f>
        <v>0</v>
      </c>
      <c r="N168" s="377">
        <f>N166+N167</f>
        <v>0</v>
      </c>
    </row>
    <row r="169" spans="1:14" s="376" customFormat="1" ht="15" hidden="1" customHeight="1">
      <c r="A169" s="1228"/>
      <c r="B169" s="1229"/>
      <c r="C169" s="1230"/>
      <c r="D169" s="1231"/>
      <c r="E169" s="1232" t="s">
        <v>750</v>
      </c>
      <c r="F169" s="1233"/>
      <c r="G169" s="379" t="s">
        <v>13</v>
      </c>
      <c r="H169" s="378">
        <f t="shared" si="50"/>
        <v>1400000</v>
      </c>
      <c r="I169" s="377">
        <f t="shared" si="51"/>
        <v>1400000</v>
      </c>
      <c r="J169" s="377"/>
      <c r="K169" s="377">
        <v>1400000</v>
      </c>
      <c r="L169" s="377"/>
      <c r="M169" s="377"/>
      <c r="N169" s="377"/>
    </row>
    <row r="170" spans="1:14" s="376" customFormat="1" ht="15" hidden="1" customHeight="1">
      <c r="A170" s="1228"/>
      <c r="B170" s="1229"/>
      <c r="C170" s="1230"/>
      <c r="D170" s="1231"/>
      <c r="E170" s="1234"/>
      <c r="F170" s="1235"/>
      <c r="G170" s="379" t="s">
        <v>14</v>
      </c>
      <c r="H170" s="378">
        <f t="shared" si="50"/>
        <v>0</v>
      </c>
      <c r="I170" s="377">
        <f t="shared" si="51"/>
        <v>0</v>
      </c>
      <c r="J170" s="377"/>
      <c r="K170" s="377">
        <v>0</v>
      </c>
      <c r="L170" s="377"/>
      <c r="M170" s="377"/>
      <c r="N170" s="377"/>
    </row>
    <row r="171" spans="1:14" s="376" customFormat="1" ht="15" hidden="1" customHeight="1">
      <c r="A171" s="1238"/>
      <c r="B171" s="1239"/>
      <c r="C171" s="1240"/>
      <c r="D171" s="1241"/>
      <c r="E171" s="1236"/>
      <c r="F171" s="1237"/>
      <c r="G171" s="379" t="s">
        <v>15</v>
      </c>
      <c r="H171" s="378">
        <f t="shared" si="50"/>
        <v>1400000</v>
      </c>
      <c r="I171" s="377">
        <f t="shared" si="51"/>
        <v>1400000</v>
      </c>
      <c r="J171" s="377">
        <f>J169+J170</f>
        <v>0</v>
      </c>
      <c r="K171" s="377">
        <f>K169+K170</f>
        <v>1400000</v>
      </c>
      <c r="L171" s="377">
        <f t="shared" ref="L171:L204" si="57">M171+N171</f>
        <v>0</v>
      </c>
      <c r="M171" s="377">
        <f>M169+M170</f>
        <v>0</v>
      </c>
      <c r="N171" s="377">
        <f>N169+N170</f>
        <v>0</v>
      </c>
    </row>
    <row r="172" spans="1:14" s="372" customFormat="1" ht="15" hidden="1" customHeight="1">
      <c r="A172" s="1215" t="s">
        <v>290</v>
      </c>
      <c r="B172" s="1216"/>
      <c r="C172" s="1216"/>
      <c r="D172" s="1216"/>
      <c r="E172" s="1216"/>
      <c r="F172" s="1216"/>
      <c r="G172" s="375" t="s">
        <v>13</v>
      </c>
      <c r="H172" s="374">
        <f t="shared" si="50"/>
        <v>6807926</v>
      </c>
      <c r="I172" s="373">
        <f t="shared" si="51"/>
        <v>6807926</v>
      </c>
      <c r="J172" s="373">
        <f t="shared" ref="J172:K174" si="58">J175+J178+J181</f>
        <v>0</v>
      </c>
      <c r="K172" s="373">
        <f t="shared" si="58"/>
        <v>6807926</v>
      </c>
      <c r="L172" s="373">
        <f t="shared" si="57"/>
        <v>0</v>
      </c>
      <c r="M172" s="373">
        <f t="shared" ref="M172:N174" si="59">M175+M178+M181</f>
        <v>0</v>
      </c>
      <c r="N172" s="373">
        <f t="shared" si="59"/>
        <v>0</v>
      </c>
    </row>
    <row r="173" spans="1:14" s="372" customFormat="1" ht="15" hidden="1" customHeight="1">
      <c r="A173" s="1217"/>
      <c r="B173" s="1218"/>
      <c r="C173" s="1218"/>
      <c r="D173" s="1218"/>
      <c r="E173" s="1218"/>
      <c r="F173" s="1218"/>
      <c r="G173" s="375" t="s">
        <v>14</v>
      </c>
      <c r="H173" s="374">
        <f t="shared" si="50"/>
        <v>0</v>
      </c>
      <c r="I173" s="373">
        <f t="shared" si="51"/>
        <v>0</v>
      </c>
      <c r="J173" s="373">
        <f t="shared" si="58"/>
        <v>0</v>
      </c>
      <c r="K173" s="373">
        <f t="shared" si="58"/>
        <v>0</v>
      </c>
      <c r="L173" s="373">
        <f t="shared" si="57"/>
        <v>0</v>
      </c>
      <c r="M173" s="373">
        <f t="shared" si="59"/>
        <v>0</v>
      </c>
      <c r="N173" s="373">
        <f t="shared" si="59"/>
        <v>0</v>
      </c>
    </row>
    <row r="174" spans="1:14" s="372" customFormat="1" ht="15" hidden="1" customHeight="1">
      <c r="A174" s="1219"/>
      <c r="B174" s="1220"/>
      <c r="C174" s="1220"/>
      <c r="D174" s="1220"/>
      <c r="E174" s="1220"/>
      <c r="F174" s="1220"/>
      <c r="G174" s="375" t="s">
        <v>15</v>
      </c>
      <c r="H174" s="374">
        <f t="shared" si="50"/>
        <v>6807926</v>
      </c>
      <c r="I174" s="373">
        <f t="shared" si="51"/>
        <v>6807926</v>
      </c>
      <c r="J174" s="373">
        <f t="shared" si="58"/>
        <v>0</v>
      </c>
      <c r="K174" s="373">
        <f t="shared" si="58"/>
        <v>6807926</v>
      </c>
      <c r="L174" s="373">
        <f t="shared" si="57"/>
        <v>0</v>
      </c>
      <c r="M174" s="373">
        <f t="shared" si="59"/>
        <v>0</v>
      </c>
      <c r="N174" s="373">
        <f t="shared" si="59"/>
        <v>0</v>
      </c>
    </row>
    <row r="175" spans="1:14" s="298" customFormat="1" ht="15" hidden="1" customHeight="1">
      <c r="A175" s="1168" t="s">
        <v>271</v>
      </c>
      <c r="B175" s="1169"/>
      <c r="C175" s="1170" t="s">
        <v>288</v>
      </c>
      <c r="D175" s="1171"/>
      <c r="E175" s="1124" t="s">
        <v>743</v>
      </c>
      <c r="F175" s="1146"/>
      <c r="G175" s="317" t="s">
        <v>13</v>
      </c>
      <c r="H175" s="316">
        <f t="shared" si="50"/>
        <v>6371950</v>
      </c>
      <c r="I175" s="315">
        <f t="shared" si="51"/>
        <v>6371950</v>
      </c>
      <c r="J175" s="315">
        <v>0</v>
      </c>
      <c r="K175" s="315">
        <v>6371950</v>
      </c>
      <c r="L175" s="315">
        <f t="shared" si="57"/>
        <v>0</v>
      </c>
      <c r="M175" s="315">
        <v>0</v>
      </c>
      <c r="N175" s="315">
        <v>0</v>
      </c>
    </row>
    <row r="176" spans="1:14" s="298" customFormat="1" ht="15" hidden="1" customHeight="1">
      <c r="A176" s="1132"/>
      <c r="B176" s="1133"/>
      <c r="C176" s="1134"/>
      <c r="D176" s="1135"/>
      <c r="E176" s="1126"/>
      <c r="F176" s="1147"/>
      <c r="G176" s="317" t="s">
        <v>14</v>
      </c>
      <c r="H176" s="316">
        <f t="shared" si="50"/>
        <v>0</v>
      </c>
      <c r="I176" s="315">
        <f t="shared" si="51"/>
        <v>0</v>
      </c>
      <c r="J176" s="315">
        <v>0</v>
      </c>
      <c r="K176" s="315">
        <v>0</v>
      </c>
      <c r="L176" s="315">
        <f t="shared" si="57"/>
        <v>0</v>
      </c>
      <c r="M176" s="315">
        <v>0</v>
      </c>
      <c r="N176" s="315">
        <v>0</v>
      </c>
    </row>
    <row r="177" spans="1:14" s="298" customFormat="1" ht="15" hidden="1" customHeight="1">
      <c r="A177" s="1132"/>
      <c r="B177" s="1133"/>
      <c r="C177" s="1134"/>
      <c r="D177" s="1135"/>
      <c r="E177" s="1128"/>
      <c r="F177" s="1148"/>
      <c r="G177" s="317" t="s">
        <v>15</v>
      </c>
      <c r="H177" s="316">
        <f t="shared" si="50"/>
        <v>6371950</v>
      </c>
      <c r="I177" s="315">
        <f t="shared" si="51"/>
        <v>6371950</v>
      </c>
      <c r="J177" s="315">
        <f>J175+J176</f>
        <v>0</v>
      </c>
      <c r="K177" s="315">
        <f>K175+K176</f>
        <v>6371950</v>
      </c>
      <c r="L177" s="315">
        <f t="shared" si="57"/>
        <v>0</v>
      </c>
      <c r="M177" s="315">
        <f>M175+M176</f>
        <v>0</v>
      </c>
      <c r="N177" s="315">
        <f>N175+N176</f>
        <v>0</v>
      </c>
    </row>
    <row r="178" spans="1:14" s="298" customFormat="1" ht="15" hidden="1" customHeight="1">
      <c r="A178" s="1132"/>
      <c r="B178" s="1133"/>
      <c r="C178" s="1134"/>
      <c r="D178" s="1135"/>
      <c r="E178" s="1124" t="s">
        <v>749</v>
      </c>
      <c r="F178" s="1146"/>
      <c r="G178" s="317" t="s">
        <v>13</v>
      </c>
      <c r="H178" s="316">
        <f t="shared" si="50"/>
        <v>275000</v>
      </c>
      <c r="I178" s="315">
        <f t="shared" si="51"/>
        <v>275000</v>
      </c>
      <c r="J178" s="315">
        <v>0</v>
      </c>
      <c r="K178" s="315">
        <v>275000</v>
      </c>
      <c r="L178" s="315">
        <f t="shared" si="57"/>
        <v>0</v>
      </c>
      <c r="M178" s="315">
        <v>0</v>
      </c>
      <c r="N178" s="315">
        <v>0</v>
      </c>
    </row>
    <row r="179" spans="1:14" s="298" customFormat="1" ht="15" hidden="1" customHeight="1">
      <c r="A179" s="1132"/>
      <c r="B179" s="1133"/>
      <c r="C179" s="1134"/>
      <c r="D179" s="1135"/>
      <c r="E179" s="1126"/>
      <c r="F179" s="1147"/>
      <c r="G179" s="317" t="s">
        <v>14</v>
      </c>
      <c r="H179" s="316">
        <f t="shared" si="50"/>
        <v>0</v>
      </c>
      <c r="I179" s="315">
        <f t="shared" si="51"/>
        <v>0</v>
      </c>
      <c r="J179" s="315">
        <v>0</v>
      </c>
      <c r="K179" s="315">
        <v>0</v>
      </c>
      <c r="L179" s="315">
        <f t="shared" si="57"/>
        <v>0</v>
      </c>
      <c r="M179" s="315">
        <v>0</v>
      </c>
      <c r="N179" s="315">
        <v>0</v>
      </c>
    </row>
    <row r="180" spans="1:14" s="298" customFormat="1" ht="15" hidden="1" customHeight="1">
      <c r="A180" s="1132"/>
      <c r="B180" s="1133"/>
      <c r="C180" s="1134"/>
      <c r="D180" s="1135"/>
      <c r="E180" s="1128"/>
      <c r="F180" s="1148"/>
      <c r="G180" s="317" t="s">
        <v>15</v>
      </c>
      <c r="H180" s="316">
        <f t="shared" si="50"/>
        <v>275000</v>
      </c>
      <c r="I180" s="315">
        <f t="shared" si="51"/>
        <v>275000</v>
      </c>
      <c r="J180" s="315">
        <f>J178+J179</f>
        <v>0</v>
      </c>
      <c r="K180" s="315">
        <f>K178+K179</f>
        <v>275000</v>
      </c>
      <c r="L180" s="315">
        <f t="shared" si="57"/>
        <v>0</v>
      </c>
      <c r="M180" s="315">
        <f>M178+M179</f>
        <v>0</v>
      </c>
      <c r="N180" s="315">
        <f>N178+N179</f>
        <v>0</v>
      </c>
    </row>
    <row r="181" spans="1:14" s="298" customFormat="1" ht="15" hidden="1" customHeight="1">
      <c r="A181" s="1132"/>
      <c r="B181" s="1133"/>
      <c r="C181" s="1134"/>
      <c r="D181" s="1135"/>
      <c r="E181" s="1124" t="s">
        <v>748</v>
      </c>
      <c r="F181" s="1125"/>
      <c r="G181" s="327" t="s">
        <v>13</v>
      </c>
      <c r="H181" s="316">
        <f t="shared" si="50"/>
        <v>160976</v>
      </c>
      <c r="I181" s="315">
        <f t="shared" si="51"/>
        <v>160976</v>
      </c>
      <c r="J181" s="315">
        <v>0</v>
      </c>
      <c r="K181" s="315">
        <v>160976</v>
      </c>
      <c r="L181" s="315">
        <f t="shared" si="57"/>
        <v>0</v>
      </c>
      <c r="M181" s="315">
        <v>0</v>
      </c>
      <c r="N181" s="315">
        <v>0</v>
      </c>
    </row>
    <row r="182" spans="1:14" s="298" customFormat="1" ht="15" hidden="1" customHeight="1">
      <c r="A182" s="1132"/>
      <c r="B182" s="1133"/>
      <c r="C182" s="1134"/>
      <c r="D182" s="1135"/>
      <c r="E182" s="1126"/>
      <c r="F182" s="1127"/>
      <c r="G182" s="327" t="s">
        <v>14</v>
      </c>
      <c r="H182" s="316">
        <f t="shared" si="50"/>
        <v>0</v>
      </c>
      <c r="I182" s="315">
        <f t="shared" si="51"/>
        <v>0</v>
      </c>
      <c r="J182" s="315">
        <v>0</v>
      </c>
      <c r="K182" s="315">
        <v>0</v>
      </c>
      <c r="L182" s="315">
        <f t="shared" si="57"/>
        <v>0</v>
      </c>
      <c r="M182" s="315">
        <v>0</v>
      </c>
      <c r="N182" s="315">
        <v>0</v>
      </c>
    </row>
    <row r="183" spans="1:14" s="298" customFormat="1" ht="15" hidden="1" customHeight="1">
      <c r="A183" s="1132"/>
      <c r="B183" s="1133"/>
      <c r="C183" s="1134"/>
      <c r="D183" s="1135"/>
      <c r="E183" s="1128"/>
      <c r="F183" s="1129"/>
      <c r="G183" s="321" t="s">
        <v>15</v>
      </c>
      <c r="H183" s="320">
        <f t="shared" si="50"/>
        <v>160976</v>
      </c>
      <c r="I183" s="319">
        <f t="shared" si="51"/>
        <v>160976</v>
      </c>
      <c r="J183" s="319">
        <f>J181+J182</f>
        <v>0</v>
      </c>
      <c r="K183" s="319">
        <f>K181+K182</f>
        <v>160976</v>
      </c>
      <c r="L183" s="319">
        <f t="shared" si="57"/>
        <v>0</v>
      </c>
      <c r="M183" s="319">
        <f>M181+M182</f>
        <v>0</v>
      </c>
      <c r="N183" s="319">
        <f>N181+N182</f>
        <v>0</v>
      </c>
    </row>
    <row r="184" spans="1:14" s="372" customFormat="1" ht="15" customHeight="1">
      <c r="A184" s="1215" t="s">
        <v>292</v>
      </c>
      <c r="B184" s="1216"/>
      <c r="C184" s="1216"/>
      <c r="D184" s="1216"/>
      <c r="E184" s="1216"/>
      <c r="F184" s="1216"/>
      <c r="G184" s="375" t="s">
        <v>13</v>
      </c>
      <c r="H184" s="374">
        <f t="shared" si="50"/>
        <v>5386500</v>
      </c>
      <c r="I184" s="373">
        <f t="shared" si="51"/>
        <v>5386500</v>
      </c>
      <c r="J184" s="373">
        <f t="shared" ref="J184:K186" si="60">J187+J190+J193+J196</f>
        <v>0</v>
      </c>
      <c r="K184" s="373">
        <f t="shared" si="60"/>
        <v>5386500</v>
      </c>
      <c r="L184" s="373">
        <f t="shared" si="57"/>
        <v>0</v>
      </c>
      <c r="M184" s="373">
        <f t="shared" ref="M184:N186" si="61">M187+M190+M193+M196</f>
        <v>0</v>
      </c>
      <c r="N184" s="373">
        <f t="shared" si="61"/>
        <v>0</v>
      </c>
    </row>
    <row r="185" spans="1:14" s="372" customFormat="1" ht="15" customHeight="1">
      <c r="A185" s="1217"/>
      <c r="B185" s="1218"/>
      <c r="C185" s="1218"/>
      <c r="D185" s="1218"/>
      <c r="E185" s="1218"/>
      <c r="F185" s="1218"/>
      <c r="G185" s="375" t="s">
        <v>14</v>
      </c>
      <c r="H185" s="374">
        <f t="shared" si="50"/>
        <v>222996</v>
      </c>
      <c r="I185" s="373">
        <f t="shared" si="51"/>
        <v>222996</v>
      </c>
      <c r="J185" s="373">
        <f t="shared" si="60"/>
        <v>0</v>
      </c>
      <c r="K185" s="373">
        <f t="shared" si="60"/>
        <v>222996</v>
      </c>
      <c r="L185" s="373">
        <f t="shared" si="57"/>
        <v>0</v>
      </c>
      <c r="M185" s="373">
        <f t="shared" si="61"/>
        <v>0</v>
      </c>
      <c r="N185" s="373">
        <f t="shared" si="61"/>
        <v>0</v>
      </c>
    </row>
    <row r="186" spans="1:14" s="372" customFormat="1" ht="15" customHeight="1">
      <c r="A186" s="1219"/>
      <c r="B186" s="1220"/>
      <c r="C186" s="1220"/>
      <c r="D186" s="1220"/>
      <c r="E186" s="1220"/>
      <c r="F186" s="1220"/>
      <c r="G186" s="375" t="s">
        <v>15</v>
      </c>
      <c r="H186" s="374">
        <f t="shared" si="50"/>
        <v>5609496</v>
      </c>
      <c r="I186" s="373">
        <f t="shared" si="51"/>
        <v>5609496</v>
      </c>
      <c r="J186" s="373">
        <f t="shared" si="60"/>
        <v>0</v>
      </c>
      <c r="K186" s="373">
        <f t="shared" si="60"/>
        <v>5609496</v>
      </c>
      <c r="L186" s="373">
        <f t="shared" si="57"/>
        <v>0</v>
      </c>
      <c r="M186" s="373">
        <f t="shared" si="61"/>
        <v>0</v>
      </c>
      <c r="N186" s="373">
        <f t="shared" si="61"/>
        <v>0</v>
      </c>
    </row>
    <row r="187" spans="1:14" s="298" customFormat="1" ht="15" hidden="1" customHeight="1">
      <c r="A187" s="1168" t="s">
        <v>271</v>
      </c>
      <c r="B187" s="1169"/>
      <c r="C187" s="1170" t="s">
        <v>288</v>
      </c>
      <c r="D187" s="1171"/>
      <c r="E187" s="1124" t="s">
        <v>743</v>
      </c>
      <c r="F187" s="1146"/>
      <c r="G187" s="317" t="s">
        <v>13</v>
      </c>
      <c r="H187" s="316">
        <f t="shared" si="50"/>
        <v>5100000</v>
      </c>
      <c r="I187" s="315">
        <f t="shared" si="51"/>
        <v>5100000</v>
      </c>
      <c r="J187" s="315">
        <v>0</v>
      </c>
      <c r="K187" s="315">
        <v>5100000</v>
      </c>
      <c r="L187" s="315">
        <f t="shared" si="57"/>
        <v>0</v>
      </c>
      <c r="M187" s="315">
        <v>0</v>
      </c>
      <c r="N187" s="315">
        <v>0</v>
      </c>
    </row>
    <row r="188" spans="1:14" s="298" customFormat="1" ht="15" hidden="1" customHeight="1">
      <c r="A188" s="1132"/>
      <c r="B188" s="1133"/>
      <c r="C188" s="1134"/>
      <c r="D188" s="1135"/>
      <c r="E188" s="1126"/>
      <c r="F188" s="1147"/>
      <c r="G188" s="317" t="s">
        <v>14</v>
      </c>
      <c r="H188" s="316">
        <f t="shared" si="50"/>
        <v>0</v>
      </c>
      <c r="I188" s="315">
        <f t="shared" si="51"/>
        <v>0</v>
      </c>
      <c r="J188" s="315">
        <v>0</v>
      </c>
      <c r="K188" s="315">
        <v>0</v>
      </c>
      <c r="L188" s="315">
        <f t="shared" si="57"/>
        <v>0</v>
      </c>
      <c r="M188" s="315">
        <v>0</v>
      </c>
      <c r="N188" s="315">
        <v>0</v>
      </c>
    </row>
    <row r="189" spans="1:14" s="298" customFormat="1" ht="15" hidden="1" customHeight="1">
      <c r="A189" s="1132"/>
      <c r="B189" s="1133"/>
      <c r="C189" s="1134"/>
      <c r="D189" s="1135"/>
      <c r="E189" s="1128"/>
      <c r="F189" s="1148"/>
      <c r="G189" s="317" t="s">
        <v>15</v>
      </c>
      <c r="H189" s="316">
        <f t="shared" si="50"/>
        <v>5100000</v>
      </c>
      <c r="I189" s="315">
        <f t="shared" si="51"/>
        <v>5100000</v>
      </c>
      <c r="J189" s="315">
        <f>J187+J188</f>
        <v>0</v>
      </c>
      <c r="K189" s="315">
        <f>K187+K188</f>
        <v>5100000</v>
      </c>
      <c r="L189" s="315">
        <f t="shared" si="57"/>
        <v>0</v>
      </c>
      <c r="M189" s="315">
        <f>M187+M188</f>
        <v>0</v>
      </c>
      <c r="N189" s="315">
        <f>N187+N188</f>
        <v>0</v>
      </c>
    </row>
    <row r="190" spans="1:14" s="314" customFormat="1" ht="14.85" hidden="1" customHeight="1">
      <c r="A190" s="1122"/>
      <c r="B190" s="1123"/>
      <c r="C190" s="1130"/>
      <c r="D190" s="1131"/>
      <c r="E190" s="1124" t="s">
        <v>747</v>
      </c>
      <c r="F190" s="1125"/>
      <c r="G190" s="327" t="s">
        <v>13</v>
      </c>
      <c r="H190" s="316">
        <f t="shared" si="50"/>
        <v>286500</v>
      </c>
      <c r="I190" s="315">
        <f t="shared" si="51"/>
        <v>286500</v>
      </c>
      <c r="J190" s="315">
        <v>0</v>
      </c>
      <c r="K190" s="315">
        <v>286500</v>
      </c>
      <c r="L190" s="315">
        <f t="shared" si="57"/>
        <v>0</v>
      </c>
      <c r="M190" s="315">
        <v>0</v>
      </c>
      <c r="N190" s="315">
        <v>0</v>
      </c>
    </row>
    <row r="191" spans="1:14" s="314" customFormat="1" ht="14.85" hidden="1" customHeight="1">
      <c r="A191" s="1122"/>
      <c r="B191" s="1123"/>
      <c r="C191" s="1130"/>
      <c r="D191" s="1131"/>
      <c r="E191" s="1126"/>
      <c r="F191" s="1127"/>
      <c r="G191" s="327" t="s">
        <v>14</v>
      </c>
      <c r="H191" s="316">
        <f t="shared" si="50"/>
        <v>0</v>
      </c>
      <c r="I191" s="315">
        <f t="shared" si="51"/>
        <v>0</v>
      </c>
      <c r="J191" s="315">
        <v>0</v>
      </c>
      <c r="K191" s="315">
        <v>0</v>
      </c>
      <c r="L191" s="315">
        <f t="shared" si="57"/>
        <v>0</v>
      </c>
      <c r="M191" s="315">
        <v>0</v>
      </c>
      <c r="N191" s="315">
        <v>0</v>
      </c>
    </row>
    <row r="192" spans="1:14" s="298" customFormat="1" ht="14.85" hidden="1" customHeight="1">
      <c r="A192" s="1132"/>
      <c r="B192" s="1133"/>
      <c r="C192" s="1134"/>
      <c r="D192" s="1135"/>
      <c r="E192" s="1128"/>
      <c r="F192" s="1129"/>
      <c r="G192" s="321" t="s">
        <v>15</v>
      </c>
      <c r="H192" s="320">
        <f t="shared" ref="H192:H204" si="62">I192+L192</f>
        <v>286500</v>
      </c>
      <c r="I192" s="319">
        <f t="shared" ref="I192:I204" si="63">J192+K192</f>
        <v>286500</v>
      </c>
      <c r="J192" s="319">
        <f>J190+J191</f>
        <v>0</v>
      </c>
      <c r="K192" s="319">
        <f>K190+K191</f>
        <v>286500</v>
      </c>
      <c r="L192" s="319">
        <f t="shared" si="57"/>
        <v>0</v>
      </c>
      <c r="M192" s="319">
        <f>M190+M191</f>
        <v>0</v>
      </c>
      <c r="N192" s="319">
        <f>N190+N191</f>
        <v>0</v>
      </c>
    </row>
    <row r="193" spans="1:14" s="314" customFormat="1" ht="15" customHeight="1">
      <c r="A193" s="1122" t="s">
        <v>271</v>
      </c>
      <c r="B193" s="1123"/>
      <c r="C193" s="1130" t="s">
        <v>288</v>
      </c>
      <c r="D193" s="1131"/>
      <c r="E193" s="1124" t="s">
        <v>746</v>
      </c>
      <c r="F193" s="1125"/>
      <c r="G193" s="327" t="s">
        <v>13</v>
      </c>
      <c r="H193" s="316">
        <f t="shared" si="62"/>
        <v>0</v>
      </c>
      <c r="I193" s="315">
        <f t="shared" si="63"/>
        <v>0</v>
      </c>
      <c r="J193" s="315">
        <v>0</v>
      </c>
      <c r="K193" s="315">
        <v>0</v>
      </c>
      <c r="L193" s="315">
        <f t="shared" si="57"/>
        <v>0</v>
      </c>
      <c r="M193" s="315">
        <v>0</v>
      </c>
      <c r="N193" s="315">
        <v>0</v>
      </c>
    </row>
    <row r="194" spans="1:14" s="314" customFormat="1" ht="15" customHeight="1">
      <c r="A194" s="1122"/>
      <c r="B194" s="1123"/>
      <c r="C194" s="1130"/>
      <c r="D194" s="1131"/>
      <c r="E194" s="1126"/>
      <c r="F194" s="1127"/>
      <c r="G194" s="327" t="s">
        <v>14</v>
      </c>
      <c r="H194" s="316">
        <f t="shared" si="62"/>
        <v>51000</v>
      </c>
      <c r="I194" s="315">
        <f t="shared" si="63"/>
        <v>51000</v>
      </c>
      <c r="J194" s="315">
        <v>0</v>
      </c>
      <c r="K194" s="315">
        <v>51000</v>
      </c>
      <c r="L194" s="315">
        <f t="shared" si="57"/>
        <v>0</v>
      </c>
      <c r="M194" s="315">
        <v>0</v>
      </c>
      <c r="N194" s="315">
        <v>0</v>
      </c>
    </row>
    <row r="195" spans="1:14" s="298" customFormat="1" ht="15" customHeight="1">
      <c r="A195" s="1181"/>
      <c r="B195" s="1213"/>
      <c r="C195" s="1180"/>
      <c r="D195" s="1214"/>
      <c r="E195" s="1128"/>
      <c r="F195" s="1129"/>
      <c r="G195" s="353" t="s">
        <v>15</v>
      </c>
      <c r="H195" s="316">
        <f t="shared" si="62"/>
        <v>51000</v>
      </c>
      <c r="I195" s="315">
        <f t="shared" si="63"/>
        <v>51000</v>
      </c>
      <c r="J195" s="315">
        <f>J193+J194</f>
        <v>0</v>
      </c>
      <c r="K195" s="315">
        <f>K193+K194</f>
        <v>51000</v>
      </c>
      <c r="L195" s="315">
        <f t="shared" si="57"/>
        <v>0</v>
      </c>
      <c r="M195" s="315">
        <f>M193+M194</f>
        <v>0</v>
      </c>
      <c r="N195" s="315">
        <f>N193+N194</f>
        <v>0</v>
      </c>
    </row>
    <row r="196" spans="1:14" s="314" customFormat="1" ht="15" customHeight="1">
      <c r="A196" s="1142"/>
      <c r="B196" s="1143"/>
      <c r="C196" s="1144"/>
      <c r="D196" s="1145"/>
      <c r="E196" s="1124" t="s">
        <v>745</v>
      </c>
      <c r="F196" s="1146"/>
      <c r="G196" s="317" t="s">
        <v>13</v>
      </c>
      <c r="H196" s="316">
        <f t="shared" si="62"/>
        <v>0</v>
      </c>
      <c r="I196" s="315">
        <f t="shared" si="63"/>
        <v>0</v>
      </c>
      <c r="J196" s="315">
        <v>0</v>
      </c>
      <c r="K196" s="315">
        <v>0</v>
      </c>
      <c r="L196" s="315">
        <f t="shared" si="57"/>
        <v>0</v>
      </c>
      <c r="M196" s="315">
        <v>0</v>
      </c>
      <c r="N196" s="315">
        <v>0</v>
      </c>
    </row>
    <row r="197" spans="1:14" s="314" customFormat="1" ht="15" customHeight="1">
      <c r="A197" s="1122"/>
      <c r="B197" s="1172"/>
      <c r="C197" s="1130"/>
      <c r="D197" s="1172"/>
      <c r="E197" s="1126"/>
      <c r="F197" s="1147"/>
      <c r="G197" s="317" t="s">
        <v>14</v>
      </c>
      <c r="H197" s="316">
        <f t="shared" si="62"/>
        <v>171996</v>
      </c>
      <c r="I197" s="315">
        <f t="shared" si="63"/>
        <v>171996</v>
      </c>
      <c r="J197" s="315">
        <v>0</v>
      </c>
      <c r="K197" s="315">
        <v>171996</v>
      </c>
      <c r="L197" s="315">
        <f t="shared" si="57"/>
        <v>0</v>
      </c>
      <c r="M197" s="315">
        <v>0</v>
      </c>
      <c r="N197" s="315">
        <v>0</v>
      </c>
    </row>
    <row r="198" spans="1:14" s="314" customFormat="1" ht="15" customHeight="1">
      <c r="A198" s="1150"/>
      <c r="B198" s="1173"/>
      <c r="C198" s="1152"/>
      <c r="D198" s="1173"/>
      <c r="E198" s="1128"/>
      <c r="F198" s="1148"/>
      <c r="G198" s="317" t="s">
        <v>15</v>
      </c>
      <c r="H198" s="316">
        <f t="shared" si="62"/>
        <v>171996</v>
      </c>
      <c r="I198" s="315">
        <f t="shared" si="63"/>
        <v>171996</v>
      </c>
      <c r="J198" s="315">
        <f>J196+J197</f>
        <v>0</v>
      </c>
      <c r="K198" s="315">
        <f>K196+K197</f>
        <v>171996</v>
      </c>
      <c r="L198" s="315">
        <f t="shared" si="57"/>
        <v>0</v>
      </c>
      <c r="M198" s="315">
        <f>M196+M197</f>
        <v>0</v>
      </c>
      <c r="N198" s="315">
        <f>N196+N197</f>
        <v>0</v>
      </c>
    </row>
    <row r="199" spans="1:14" s="372" customFormat="1" ht="15" hidden="1" customHeight="1">
      <c r="A199" s="1215" t="s">
        <v>744</v>
      </c>
      <c r="B199" s="1216"/>
      <c r="C199" s="1216"/>
      <c r="D199" s="1216"/>
      <c r="E199" s="1216"/>
      <c r="F199" s="1216"/>
      <c r="G199" s="375" t="s">
        <v>13</v>
      </c>
      <c r="H199" s="374">
        <f t="shared" si="62"/>
        <v>2600000</v>
      </c>
      <c r="I199" s="373">
        <f t="shared" si="63"/>
        <v>2600000</v>
      </c>
      <c r="J199" s="373">
        <f t="shared" ref="J199:K201" si="64">J202</f>
        <v>0</v>
      </c>
      <c r="K199" s="373">
        <f t="shared" si="64"/>
        <v>2600000</v>
      </c>
      <c r="L199" s="373">
        <f t="shared" si="57"/>
        <v>0</v>
      </c>
      <c r="M199" s="373">
        <f t="shared" ref="M199:N201" si="65">M202</f>
        <v>0</v>
      </c>
      <c r="N199" s="373">
        <f t="shared" si="65"/>
        <v>0</v>
      </c>
    </row>
    <row r="200" spans="1:14" s="372" customFormat="1" ht="15" hidden="1" customHeight="1">
      <c r="A200" s="1217"/>
      <c r="B200" s="1218"/>
      <c r="C200" s="1218"/>
      <c r="D200" s="1218"/>
      <c r="E200" s="1218"/>
      <c r="F200" s="1218"/>
      <c r="G200" s="375" t="s">
        <v>14</v>
      </c>
      <c r="H200" s="374">
        <f t="shared" si="62"/>
        <v>0</v>
      </c>
      <c r="I200" s="373">
        <f t="shared" si="63"/>
        <v>0</v>
      </c>
      <c r="J200" s="373">
        <f t="shared" si="64"/>
        <v>0</v>
      </c>
      <c r="K200" s="373">
        <f t="shared" si="64"/>
        <v>0</v>
      </c>
      <c r="L200" s="373">
        <f t="shared" si="57"/>
        <v>0</v>
      </c>
      <c r="M200" s="373">
        <f t="shared" si="65"/>
        <v>0</v>
      </c>
      <c r="N200" s="373">
        <f t="shared" si="65"/>
        <v>0</v>
      </c>
    </row>
    <row r="201" spans="1:14" s="372" customFormat="1" ht="15" hidden="1" customHeight="1">
      <c r="A201" s="1219"/>
      <c r="B201" s="1220"/>
      <c r="C201" s="1220"/>
      <c r="D201" s="1220"/>
      <c r="E201" s="1220"/>
      <c r="F201" s="1220"/>
      <c r="G201" s="375" t="s">
        <v>15</v>
      </c>
      <c r="H201" s="374">
        <f t="shared" si="62"/>
        <v>2600000</v>
      </c>
      <c r="I201" s="373">
        <f t="shared" si="63"/>
        <v>2600000</v>
      </c>
      <c r="J201" s="373">
        <f t="shared" si="64"/>
        <v>0</v>
      </c>
      <c r="K201" s="373">
        <f t="shared" si="64"/>
        <v>2600000</v>
      </c>
      <c r="L201" s="373">
        <f t="shared" si="57"/>
        <v>0</v>
      </c>
      <c r="M201" s="373">
        <f t="shared" si="65"/>
        <v>0</v>
      </c>
      <c r="N201" s="373">
        <f t="shared" si="65"/>
        <v>0</v>
      </c>
    </row>
    <row r="202" spans="1:14" s="298" customFormat="1" ht="15" hidden="1" customHeight="1">
      <c r="A202" s="1168" t="s">
        <v>271</v>
      </c>
      <c r="B202" s="1221"/>
      <c r="C202" s="1170" t="s">
        <v>288</v>
      </c>
      <c r="D202" s="1171"/>
      <c r="E202" s="1124" t="s">
        <v>743</v>
      </c>
      <c r="F202" s="1146"/>
      <c r="G202" s="317" t="s">
        <v>13</v>
      </c>
      <c r="H202" s="316">
        <f t="shared" si="62"/>
        <v>2600000</v>
      </c>
      <c r="I202" s="315">
        <f t="shared" si="63"/>
        <v>2600000</v>
      </c>
      <c r="J202" s="315">
        <v>0</v>
      </c>
      <c r="K202" s="315">
        <v>2600000</v>
      </c>
      <c r="L202" s="315">
        <f t="shared" si="57"/>
        <v>0</v>
      </c>
      <c r="M202" s="315">
        <v>0</v>
      </c>
      <c r="N202" s="315">
        <v>0</v>
      </c>
    </row>
    <row r="203" spans="1:14" s="298" customFormat="1" ht="15" hidden="1" customHeight="1">
      <c r="A203" s="1132"/>
      <c r="B203" s="1133"/>
      <c r="C203" s="1134"/>
      <c r="D203" s="1135"/>
      <c r="E203" s="1126"/>
      <c r="F203" s="1147"/>
      <c r="G203" s="317" t="s">
        <v>14</v>
      </c>
      <c r="H203" s="316">
        <f t="shared" si="62"/>
        <v>0</v>
      </c>
      <c r="I203" s="315">
        <f t="shared" si="63"/>
        <v>0</v>
      </c>
      <c r="J203" s="315">
        <v>0</v>
      </c>
      <c r="K203" s="315">
        <v>0</v>
      </c>
      <c r="L203" s="315">
        <f t="shared" si="57"/>
        <v>0</v>
      </c>
      <c r="M203" s="315">
        <v>0</v>
      </c>
      <c r="N203" s="315">
        <v>0</v>
      </c>
    </row>
    <row r="204" spans="1:14" s="298" customFormat="1" ht="15" hidden="1" customHeight="1">
      <c r="A204" s="1181"/>
      <c r="B204" s="1213"/>
      <c r="C204" s="1180"/>
      <c r="D204" s="1214"/>
      <c r="E204" s="1128"/>
      <c r="F204" s="1148"/>
      <c r="G204" s="317" t="s">
        <v>15</v>
      </c>
      <c r="H204" s="316">
        <f t="shared" si="62"/>
        <v>2600000</v>
      </c>
      <c r="I204" s="315">
        <f t="shared" si="63"/>
        <v>2600000</v>
      </c>
      <c r="J204" s="315">
        <f>J202+J203</f>
        <v>0</v>
      </c>
      <c r="K204" s="315">
        <f>K202+K203</f>
        <v>2600000</v>
      </c>
      <c r="L204" s="315">
        <f t="shared" si="57"/>
        <v>0</v>
      </c>
      <c r="M204" s="315">
        <f>M202+M203</f>
        <v>0</v>
      </c>
      <c r="N204" s="315">
        <f>N202+N203</f>
        <v>0</v>
      </c>
    </row>
    <row r="205" spans="1:14" s="355" customFormat="1" ht="5.25" customHeight="1">
      <c r="A205" s="371"/>
      <c r="B205" s="370"/>
      <c r="C205" s="370"/>
      <c r="D205" s="370"/>
      <c r="E205" s="368"/>
      <c r="F205" s="369"/>
      <c r="G205" s="368"/>
      <c r="H205" s="367"/>
      <c r="I205" s="366"/>
      <c r="J205" s="366"/>
      <c r="K205" s="366"/>
      <c r="L205" s="366"/>
      <c r="M205" s="366"/>
      <c r="N205" s="365"/>
    </row>
    <row r="206" spans="1:14" s="362" customFormat="1" ht="15" customHeight="1">
      <c r="A206" s="1222" t="s">
        <v>742</v>
      </c>
      <c r="B206" s="1223"/>
      <c r="C206" s="1223"/>
      <c r="D206" s="1223"/>
      <c r="E206" s="1223"/>
      <c r="F206" s="1223"/>
      <c r="G206" s="364" t="s">
        <v>13</v>
      </c>
      <c r="H206" s="363">
        <f>I206+L206</f>
        <v>308776730</v>
      </c>
      <c r="I206" s="363">
        <f>J206+K206</f>
        <v>193288563</v>
      </c>
      <c r="J206" s="363">
        <f t="shared" ref="J206:K208" si="66">J210+J383+J394+J402</f>
        <v>143052395</v>
      </c>
      <c r="K206" s="363">
        <f t="shared" si="66"/>
        <v>50236168</v>
      </c>
      <c r="L206" s="363">
        <f>M206+N206</f>
        <v>115488167</v>
      </c>
      <c r="M206" s="363">
        <f t="shared" ref="M206:N208" si="67">M210+M383+M394+M402</f>
        <v>16565027</v>
      </c>
      <c r="N206" s="363">
        <f t="shared" si="67"/>
        <v>98923140</v>
      </c>
    </row>
    <row r="207" spans="1:14" s="362" customFormat="1" ht="15" customHeight="1">
      <c r="A207" s="1224"/>
      <c r="B207" s="1225"/>
      <c r="C207" s="1225"/>
      <c r="D207" s="1225"/>
      <c r="E207" s="1225"/>
      <c r="F207" s="1225"/>
      <c r="G207" s="364" t="s">
        <v>14</v>
      </c>
      <c r="H207" s="363">
        <f>I207+L207</f>
        <v>87753777</v>
      </c>
      <c r="I207" s="363">
        <f>J207+K207</f>
        <v>76222258</v>
      </c>
      <c r="J207" s="363">
        <f t="shared" si="66"/>
        <v>66634960</v>
      </c>
      <c r="K207" s="363">
        <f t="shared" si="66"/>
        <v>9587298</v>
      </c>
      <c r="L207" s="363">
        <f>M207+N207</f>
        <v>11531519</v>
      </c>
      <c r="M207" s="363">
        <f t="shared" si="67"/>
        <v>7981151</v>
      </c>
      <c r="N207" s="363">
        <f t="shared" si="67"/>
        <v>3550368</v>
      </c>
    </row>
    <row r="208" spans="1:14" s="362" customFormat="1" ht="15" customHeight="1">
      <c r="A208" s="1226"/>
      <c r="B208" s="1227"/>
      <c r="C208" s="1227"/>
      <c r="D208" s="1227"/>
      <c r="E208" s="1227"/>
      <c r="F208" s="1227"/>
      <c r="G208" s="364" t="s">
        <v>15</v>
      </c>
      <c r="H208" s="363">
        <f>I208+L208</f>
        <v>396530507</v>
      </c>
      <c r="I208" s="363">
        <f>J208+K208</f>
        <v>269510821</v>
      </c>
      <c r="J208" s="363">
        <f t="shared" si="66"/>
        <v>209687355</v>
      </c>
      <c r="K208" s="363">
        <f t="shared" si="66"/>
        <v>59823466</v>
      </c>
      <c r="L208" s="363">
        <f>M208+N208</f>
        <v>127019686</v>
      </c>
      <c r="M208" s="363">
        <f t="shared" si="67"/>
        <v>24546178</v>
      </c>
      <c r="N208" s="363">
        <f t="shared" si="67"/>
        <v>102473508</v>
      </c>
    </row>
    <row r="209" spans="1:14" s="355" customFormat="1" ht="5.25" customHeight="1">
      <c r="A209" s="361"/>
      <c r="B209" s="360"/>
      <c r="C209" s="360"/>
      <c r="D209" s="360"/>
      <c r="E209" s="359"/>
      <c r="F209" s="359"/>
      <c r="G209" s="359"/>
      <c r="H209" s="358"/>
      <c r="I209" s="357"/>
      <c r="J209" s="357"/>
      <c r="K209" s="357"/>
      <c r="L209" s="357"/>
      <c r="M209" s="357"/>
      <c r="N209" s="356"/>
    </row>
    <row r="210" spans="1:14" s="339" customFormat="1" ht="15" customHeight="1">
      <c r="A210" s="1190" t="s">
        <v>741</v>
      </c>
      <c r="B210" s="1191"/>
      <c r="C210" s="1191"/>
      <c r="D210" s="1191"/>
      <c r="E210" s="1191"/>
      <c r="F210" s="1191"/>
      <c r="G210" s="345" t="s">
        <v>13</v>
      </c>
      <c r="H210" s="344">
        <f>I210+L210</f>
        <v>199771141</v>
      </c>
      <c r="I210" s="343">
        <f>J210+K210</f>
        <v>143134945</v>
      </c>
      <c r="J210" s="343">
        <f t="shared" ref="J210:K212" si="68">J214+J217+J220+J223+J226+J229+J232+J235+J238+J241+J244+J247+J250+J253+J256+J259+J262+J265+J268+J271+J274+J277+J280+J283+J286+J289+J292+J295+J298+J301+J304+J307+J310+J313+J316+J319+J322+J325+J328+J331+J334+J337+J340+J343+J346+J349+J352+J355+J358+J361+J364+J367+J370+J373+J376+J379</f>
        <v>117503944</v>
      </c>
      <c r="K210" s="343">
        <f t="shared" si="68"/>
        <v>25631001</v>
      </c>
      <c r="L210" s="343">
        <f>M210+N210</f>
        <v>56636196</v>
      </c>
      <c r="M210" s="343">
        <f t="shared" ref="M210:N212" si="69">M214+M217+M220+M223+M226+M229+M232+M235+M238+M241+M244+M247+M250+M253+M256+M259+M262+M265+M268+M271+M274+M277+M280+M283+M286+M289+M292+M295+M298+M301+M304+M307+M310+M313+M316+M319+M322+M325+M328+M331+M334+M337+M340+M343+M346+M349+M352+M355+M358+M361+M364+M367+M370+M373+M376+M379</f>
        <v>16065027</v>
      </c>
      <c r="N210" s="343">
        <f t="shared" si="69"/>
        <v>40571169</v>
      </c>
    </row>
    <row r="211" spans="1:14" s="339" customFormat="1" ht="15" customHeight="1">
      <c r="A211" s="1192"/>
      <c r="B211" s="1193"/>
      <c r="C211" s="1193"/>
      <c r="D211" s="1193"/>
      <c r="E211" s="1193"/>
      <c r="F211" s="1193"/>
      <c r="G211" s="345" t="s">
        <v>14</v>
      </c>
      <c r="H211" s="344">
        <f>I211+L211</f>
        <v>81166326</v>
      </c>
      <c r="I211" s="343">
        <f>J211+K211</f>
        <v>69634807</v>
      </c>
      <c r="J211" s="343">
        <f t="shared" si="68"/>
        <v>60625346</v>
      </c>
      <c r="K211" s="343">
        <f t="shared" si="68"/>
        <v>9009461</v>
      </c>
      <c r="L211" s="343">
        <f>M211+N211</f>
        <v>11531519</v>
      </c>
      <c r="M211" s="343">
        <f t="shared" si="69"/>
        <v>7981151</v>
      </c>
      <c r="N211" s="343">
        <f t="shared" si="69"/>
        <v>3550368</v>
      </c>
    </row>
    <row r="212" spans="1:14" s="339" customFormat="1" ht="15" customHeight="1">
      <c r="A212" s="1194"/>
      <c r="B212" s="1195"/>
      <c r="C212" s="1195"/>
      <c r="D212" s="1195"/>
      <c r="E212" s="1195"/>
      <c r="F212" s="1195"/>
      <c r="G212" s="345" t="s">
        <v>15</v>
      </c>
      <c r="H212" s="344">
        <f>I212+L212</f>
        <v>280937467</v>
      </c>
      <c r="I212" s="343">
        <f>J212+K212</f>
        <v>212769752</v>
      </c>
      <c r="J212" s="343">
        <f t="shared" si="68"/>
        <v>178129290</v>
      </c>
      <c r="K212" s="343">
        <f t="shared" si="68"/>
        <v>34640462</v>
      </c>
      <c r="L212" s="343">
        <f>M212+N212</f>
        <v>68167715</v>
      </c>
      <c r="M212" s="343">
        <f t="shared" si="69"/>
        <v>24046178</v>
      </c>
      <c r="N212" s="343">
        <f t="shared" si="69"/>
        <v>44121537</v>
      </c>
    </row>
    <row r="213" spans="1:14" s="307" customFormat="1" ht="5.25" customHeight="1">
      <c r="A213" s="313"/>
      <c r="B213" s="312"/>
      <c r="C213" s="337"/>
      <c r="D213" s="337"/>
      <c r="E213" s="337"/>
      <c r="F213" s="337"/>
      <c r="G213" s="336"/>
      <c r="H213" s="335"/>
      <c r="I213" s="334"/>
      <c r="J213" s="334"/>
      <c r="K213" s="334"/>
      <c r="L213" s="334"/>
      <c r="M213" s="334"/>
      <c r="N213" s="333"/>
    </row>
    <row r="214" spans="1:14" s="298" customFormat="1" ht="15.2" customHeight="1">
      <c r="A214" s="1168" t="s">
        <v>97</v>
      </c>
      <c r="B214" s="1169"/>
      <c r="C214" s="1170" t="s">
        <v>188</v>
      </c>
      <c r="D214" s="1171"/>
      <c r="E214" s="347" t="s">
        <v>740</v>
      </c>
      <c r="F214" s="1210" t="s">
        <v>739</v>
      </c>
      <c r="G214" s="354" t="s">
        <v>13</v>
      </c>
      <c r="H214" s="316">
        <f t="shared" ref="H214:H245" si="70">I214+L214</f>
        <v>2412000</v>
      </c>
      <c r="I214" s="315">
        <f t="shared" ref="I214:I245" si="71">J214+K214</f>
        <v>0</v>
      </c>
      <c r="J214" s="315">
        <v>0</v>
      </c>
      <c r="K214" s="315">
        <v>0</v>
      </c>
      <c r="L214" s="315">
        <f t="shared" ref="L214:L245" si="72">M214+N214</f>
        <v>2412000</v>
      </c>
      <c r="M214" s="315">
        <v>0</v>
      </c>
      <c r="N214" s="315">
        <v>2412000</v>
      </c>
    </row>
    <row r="215" spans="1:14" s="298" customFormat="1" ht="15.2" customHeight="1">
      <c r="A215" s="1132"/>
      <c r="B215" s="1140"/>
      <c r="C215" s="1134"/>
      <c r="D215" s="1140"/>
      <c r="E215" s="346"/>
      <c r="F215" s="1211"/>
      <c r="G215" s="327" t="s">
        <v>14</v>
      </c>
      <c r="H215" s="316">
        <f t="shared" si="70"/>
        <v>-144000</v>
      </c>
      <c r="I215" s="315">
        <f t="shared" si="71"/>
        <v>0</v>
      </c>
      <c r="J215" s="315">
        <v>0</v>
      </c>
      <c r="K215" s="315">
        <v>0</v>
      </c>
      <c r="L215" s="315">
        <f t="shared" si="72"/>
        <v>-144000</v>
      </c>
      <c r="M215" s="315">
        <v>0</v>
      </c>
      <c r="N215" s="315">
        <v>-144000</v>
      </c>
    </row>
    <row r="216" spans="1:14" s="298" customFormat="1" ht="15.2" customHeight="1">
      <c r="A216" s="1132"/>
      <c r="B216" s="1133"/>
      <c r="C216" s="1180"/>
      <c r="D216" s="1214"/>
      <c r="E216" s="332"/>
      <c r="F216" s="1212"/>
      <c r="G216" s="353" t="s">
        <v>15</v>
      </c>
      <c r="H216" s="316">
        <f t="shared" si="70"/>
        <v>2268000</v>
      </c>
      <c r="I216" s="315">
        <f t="shared" si="71"/>
        <v>0</v>
      </c>
      <c r="J216" s="315">
        <f>J214+J215</f>
        <v>0</v>
      </c>
      <c r="K216" s="315">
        <f>K214+K215</f>
        <v>0</v>
      </c>
      <c r="L216" s="315">
        <f t="shared" si="72"/>
        <v>2268000</v>
      </c>
      <c r="M216" s="315">
        <f>M214+M215</f>
        <v>0</v>
      </c>
      <c r="N216" s="315">
        <f>N214+N215</f>
        <v>2268000</v>
      </c>
    </row>
    <row r="217" spans="1:14" s="298" customFormat="1" ht="15" hidden="1" customHeight="1">
      <c r="A217" s="1132"/>
      <c r="B217" s="1133"/>
      <c r="C217" s="1134" t="s">
        <v>99</v>
      </c>
      <c r="D217" s="1135"/>
      <c r="E217" s="347" t="s">
        <v>738</v>
      </c>
      <c r="F217" s="1124" t="s">
        <v>737</v>
      </c>
      <c r="G217" s="317" t="s">
        <v>13</v>
      </c>
      <c r="H217" s="316">
        <f t="shared" si="70"/>
        <v>1500000</v>
      </c>
      <c r="I217" s="315">
        <f t="shared" si="71"/>
        <v>0</v>
      </c>
      <c r="J217" s="315">
        <v>0</v>
      </c>
      <c r="K217" s="315">
        <v>0</v>
      </c>
      <c r="L217" s="315">
        <f t="shared" si="72"/>
        <v>1500000</v>
      </c>
      <c r="M217" s="315">
        <v>0</v>
      </c>
      <c r="N217" s="315">
        <v>1500000</v>
      </c>
    </row>
    <row r="218" spans="1:14" s="298" customFormat="1" ht="15" hidden="1" customHeight="1">
      <c r="A218" s="1132"/>
      <c r="B218" s="1133"/>
      <c r="C218" s="1134"/>
      <c r="D218" s="1135"/>
      <c r="E218" s="346"/>
      <c r="F218" s="1126"/>
      <c r="G218" s="317" t="s">
        <v>14</v>
      </c>
      <c r="H218" s="316">
        <f t="shared" si="70"/>
        <v>0</v>
      </c>
      <c r="I218" s="315">
        <f t="shared" si="71"/>
        <v>0</v>
      </c>
      <c r="J218" s="315">
        <v>0</v>
      </c>
      <c r="K218" s="315">
        <v>0</v>
      </c>
      <c r="L218" s="315">
        <f t="shared" si="72"/>
        <v>0</v>
      </c>
      <c r="M218" s="315">
        <v>0</v>
      </c>
      <c r="N218" s="315">
        <v>0</v>
      </c>
    </row>
    <row r="219" spans="1:14" s="298" customFormat="1" ht="15" hidden="1" customHeight="1">
      <c r="A219" s="1132"/>
      <c r="B219" s="1133"/>
      <c r="C219" s="1134"/>
      <c r="D219" s="1135"/>
      <c r="E219" s="346"/>
      <c r="F219" s="1128"/>
      <c r="G219" s="317" t="s">
        <v>15</v>
      </c>
      <c r="H219" s="316">
        <f t="shared" si="70"/>
        <v>1500000</v>
      </c>
      <c r="I219" s="315">
        <f t="shared" si="71"/>
        <v>0</v>
      </c>
      <c r="J219" s="315">
        <f>J217+J218</f>
        <v>0</v>
      </c>
      <c r="K219" s="315">
        <f>K217+K218</f>
        <v>0</v>
      </c>
      <c r="L219" s="315">
        <f t="shared" si="72"/>
        <v>1500000</v>
      </c>
      <c r="M219" s="315">
        <f>M217+M218</f>
        <v>0</v>
      </c>
      <c r="N219" s="315">
        <f>N217+N218</f>
        <v>1500000</v>
      </c>
    </row>
    <row r="220" spans="1:14" s="298" customFormat="1" ht="15" hidden="1" customHeight="1">
      <c r="A220" s="1132"/>
      <c r="B220" s="1133"/>
      <c r="C220" s="1134"/>
      <c r="D220" s="1135"/>
      <c r="E220" s="347" t="s">
        <v>736</v>
      </c>
      <c r="F220" s="1124" t="s">
        <v>735</v>
      </c>
      <c r="G220" s="317" t="s">
        <v>13</v>
      </c>
      <c r="H220" s="316">
        <f t="shared" si="70"/>
        <v>900000</v>
      </c>
      <c r="I220" s="315">
        <f t="shared" si="71"/>
        <v>0</v>
      </c>
      <c r="J220" s="315">
        <v>0</v>
      </c>
      <c r="K220" s="315">
        <v>0</v>
      </c>
      <c r="L220" s="315">
        <f t="shared" si="72"/>
        <v>900000</v>
      </c>
      <c r="M220" s="315">
        <v>0</v>
      </c>
      <c r="N220" s="315">
        <v>900000</v>
      </c>
    </row>
    <row r="221" spans="1:14" s="298" customFormat="1" ht="15" hidden="1" customHeight="1">
      <c r="A221" s="1132"/>
      <c r="B221" s="1133"/>
      <c r="C221" s="1134"/>
      <c r="D221" s="1135"/>
      <c r="E221" s="346"/>
      <c r="F221" s="1126"/>
      <c r="G221" s="317" t="s">
        <v>14</v>
      </c>
      <c r="H221" s="316">
        <f t="shared" si="70"/>
        <v>0</v>
      </c>
      <c r="I221" s="315">
        <f t="shared" si="71"/>
        <v>0</v>
      </c>
      <c r="J221" s="315">
        <v>0</v>
      </c>
      <c r="K221" s="315">
        <v>0</v>
      </c>
      <c r="L221" s="315">
        <f t="shared" si="72"/>
        <v>0</v>
      </c>
      <c r="M221" s="315">
        <v>0</v>
      </c>
      <c r="N221" s="315">
        <v>0</v>
      </c>
    </row>
    <row r="222" spans="1:14" s="298" customFormat="1" ht="15" hidden="1" customHeight="1">
      <c r="A222" s="1132"/>
      <c r="B222" s="1133"/>
      <c r="C222" s="1134"/>
      <c r="D222" s="1135"/>
      <c r="E222" s="346"/>
      <c r="F222" s="1128"/>
      <c r="G222" s="317" t="s">
        <v>15</v>
      </c>
      <c r="H222" s="316">
        <f t="shared" si="70"/>
        <v>900000</v>
      </c>
      <c r="I222" s="315">
        <f t="shared" si="71"/>
        <v>0</v>
      </c>
      <c r="J222" s="315">
        <f>J220+J221</f>
        <v>0</v>
      </c>
      <c r="K222" s="315">
        <f>K220+K221</f>
        <v>0</v>
      </c>
      <c r="L222" s="315">
        <f t="shared" si="72"/>
        <v>900000</v>
      </c>
      <c r="M222" s="315">
        <f>M220+M221</f>
        <v>0</v>
      </c>
      <c r="N222" s="315">
        <f>N220+N221</f>
        <v>900000</v>
      </c>
    </row>
    <row r="223" spans="1:14" s="314" customFormat="1" ht="15" hidden="1" customHeight="1">
      <c r="A223" s="1122"/>
      <c r="B223" s="1123"/>
      <c r="C223" s="1130"/>
      <c r="D223" s="1131"/>
      <c r="E223" s="350"/>
      <c r="F223" s="1124" t="s">
        <v>734</v>
      </c>
      <c r="G223" s="317" t="s">
        <v>13</v>
      </c>
      <c r="H223" s="316">
        <f t="shared" si="70"/>
        <v>19270771</v>
      </c>
      <c r="I223" s="315">
        <f t="shared" si="71"/>
        <v>0</v>
      </c>
      <c r="J223" s="315">
        <v>0</v>
      </c>
      <c r="K223" s="315">
        <v>0</v>
      </c>
      <c r="L223" s="315">
        <f t="shared" si="72"/>
        <v>19270771</v>
      </c>
      <c r="M223" s="315">
        <v>0</v>
      </c>
      <c r="N223" s="315">
        <v>19270771</v>
      </c>
    </row>
    <row r="224" spans="1:14" s="314" customFormat="1" ht="15" hidden="1" customHeight="1">
      <c r="A224" s="1122"/>
      <c r="B224" s="1123"/>
      <c r="C224" s="1130"/>
      <c r="D224" s="1131"/>
      <c r="E224" s="350"/>
      <c r="F224" s="1126"/>
      <c r="G224" s="317" t="s">
        <v>14</v>
      </c>
      <c r="H224" s="316">
        <f t="shared" si="70"/>
        <v>0</v>
      </c>
      <c r="I224" s="315">
        <f t="shared" si="71"/>
        <v>0</v>
      </c>
      <c r="J224" s="315">
        <v>0</v>
      </c>
      <c r="K224" s="315">
        <v>0</v>
      </c>
      <c r="L224" s="315">
        <f t="shared" si="72"/>
        <v>0</v>
      </c>
      <c r="M224" s="315">
        <v>0</v>
      </c>
      <c r="N224" s="315">
        <v>0</v>
      </c>
    </row>
    <row r="225" spans="1:14" s="314" customFormat="1" ht="15" hidden="1" customHeight="1">
      <c r="A225" s="1122"/>
      <c r="B225" s="1123"/>
      <c r="C225" s="1130"/>
      <c r="D225" s="1131"/>
      <c r="E225" s="352"/>
      <c r="F225" s="1128"/>
      <c r="G225" s="317" t="s">
        <v>15</v>
      </c>
      <c r="H225" s="316">
        <f t="shared" si="70"/>
        <v>19270771</v>
      </c>
      <c r="I225" s="315">
        <f t="shared" si="71"/>
        <v>0</v>
      </c>
      <c r="J225" s="315">
        <f>J223+J224</f>
        <v>0</v>
      </c>
      <c r="K225" s="315">
        <f>K223+K224</f>
        <v>0</v>
      </c>
      <c r="L225" s="315">
        <f t="shared" si="72"/>
        <v>19270771</v>
      </c>
      <c r="M225" s="315">
        <f>M223+M224</f>
        <v>0</v>
      </c>
      <c r="N225" s="315">
        <f>N223+N224</f>
        <v>19270771</v>
      </c>
    </row>
    <row r="226" spans="1:14" s="298" customFormat="1" ht="15" hidden="1" customHeight="1">
      <c r="A226" s="1132"/>
      <c r="B226" s="1133"/>
      <c r="C226" s="1134"/>
      <c r="D226" s="1135"/>
      <c r="E226" s="347" t="s">
        <v>733</v>
      </c>
      <c r="F226" s="1124" t="s">
        <v>732</v>
      </c>
      <c r="G226" s="317" t="s">
        <v>13</v>
      </c>
      <c r="H226" s="316">
        <f t="shared" si="70"/>
        <v>960000</v>
      </c>
      <c r="I226" s="315">
        <f t="shared" si="71"/>
        <v>710000</v>
      </c>
      <c r="J226" s="315">
        <v>0</v>
      </c>
      <c r="K226" s="315">
        <v>710000</v>
      </c>
      <c r="L226" s="315">
        <f t="shared" si="72"/>
        <v>250000</v>
      </c>
      <c r="M226" s="315">
        <v>0</v>
      </c>
      <c r="N226" s="315">
        <v>250000</v>
      </c>
    </row>
    <row r="227" spans="1:14" s="298" customFormat="1" ht="15" hidden="1" customHeight="1">
      <c r="A227" s="1132"/>
      <c r="B227" s="1133"/>
      <c r="C227" s="1134"/>
      <c r="D227" s="1135"/>
      <c r="E227" s="346"/>
      <c r="F227" s="1126"/>
      <c r="G227" s="317" t="s">
        <v>14</v>
      </c>
      <c r="H227" s="316">
        <f t="shared" si="70"/>
        <v>0</v>
      </c>
      <c r="I227" s="315">
        <f t="shared" si="71"/>
        <v>0</v>
      </c>
      <c r="J227" s="315">
        <v>0</v>
      </c>
      <c r="K227" s="315">
        <v>0</v>
      </c>
      <c r="L227" s="315">
        <f t="shared" si="72"/>
        <v>0</v>
      </c>
      <c r="M227" s="315">
        <v>0</v>
      </c>
      <c r="N227" s="315">
        <v>0</v>
      </c>
    </row>
    <row r="228" spans="1:14" s="298" customFormat="1" ht="15" hidden="1" customHeight="1">
      <c r="A228" s="1181"/>
      <c r="B228" s="1213"/>
      <c r="C228" s="1180"/>
      <c r="D228" s="1214"/>
      <c r="E228" s="332"/>
      <c r="F228" s="1128"/>
      <c r="G228" s="317" t="s">
        <v>15</v>
      </c>
      <c r="H228" s="316">
        <f t="shared" si="70"/>
        <v>960000</v>
      </c>
      <c r="I228" s="315">
        <f t="shared" si="71"/>
        <v>710000</v>
      </c>
      <c r="J228" s="315">
        <f>J226+J227</f>
        <v>0</v>
      </c>
      <c r="K228" s="315">
        <f>K226+K227</f>
        <v>710000</v>
      </c>
      <c r="L228" s="315">
        <f t="shared" si="72"/>
        <v>250000</v>
      </c>
      <c r="M228" s="315">
        <f>M226+M227</f>
        <v>0</v>
      </c>
      <c r="N228" s="315">
        <f>N226+N227</f>
        <v>250000</v>
      </c>
    </row>
    <row r="229" spans="1:14" s="314" customFormat="1" ht="18" customHeight="1">
      <c r="A229" s="1142" t="s">
        <v>19</v>
      </c>
      <c r="B229" s="1143"/>
      <c r="C229" s="1144" t="s">
        <v>21</v>
      </c>
      <c r="D229" s="1145"/>
      <c r="E229" s="351" t="s">
        <v>731</v>
      </c>
      <c r="F229" s="1124" t="s">
        <v>730</v>
      </c>
      <c r="G229" s="317" t="s">
        <v>13</v>
      </c>
      <c r="H229" s="316">
        <f t="shared" si="70"/>
        <v>481059</v>
      </c>
      <c r="I229" s="315">
        <f t="shared" si="71"/>
        <v>481059</v>
      </c>
      <c r="J229" s="315">
        <v>481059</v>
      </c>
      <c r="K229" s="315">
        <v>0</v>
      </c>
      <c r="L229" s="315">
        <f t="shared" si="72"/>
        <v>0</v>
      </c>
      <c r="M229" s="315">
        <v>0</v>
      </c>
      <c r="N229" s="315">
        <v>0</v>
      </c>
    </row>
    <row r="230" spans="1:14" s="314" customFormat="1" ht="18" customHeight="1">
      <c r="A230" s="1122"/>
      <c r="B230" s="1123"/>
      <c r="C230" s="1130"/>
      <c r="D230" s="1131"/>
      <c r="E230" s="350"/>
      <c r="F230" s="1126"/>
      <c r="G230" s="317" t="s">
        <v>14</v>
      </c>
      <c r="H230" s="316">
        <f t="shared" si="70"/>
        <v>105353</v>
      </c>
      <c r="I230" s="315">
        <f t="shared" si="71"/>
        <v>105353</v>
      </c>
      <c r="J230" s="315">
        <v>105353</v>
      </c>
      <c r="K230" s="315">
        <v>0</v>
      </c>
      <c r="L230" s="315">
        <f t="shared" si="72"/>
        <v>0</v>
      </c>
      <c r="M230" s="315">
        <v>0</v>
      </c>
      <c r="N230" s="315">
        <v>0</v>
      </c>
    </row>
    <row r="231" spans="1:14" s="314" customFormat="1" ht="18" customHeight="1">
      <c r="A231" s="1150"/>
      <c r="B231" s="1154"/>
      <c r="C231" s="1152"/>
      <c r="D231" s="1155"/>
      <c r="E231" s="350"/>
      <c r="F231" s="1128"/>
      <c r="G231" s="317" t="s">
        <v>15</v>
      </c>
      <c r="H231" s="316">
        <f t="shared" si="70"/>
        <v>586412</v>
      </c>
      <c r="I231" s="315">
        <f t="shared" si="71"/>
        <v>586412</v>
      </c>
      <c r="J231" s="315">
        <f>J229+J230</f>
        <v>586412</v>
      </c>
      <c r="K231" s="315">
        <f>K229+K230</f>
        <v>0</v>
      </c>
      <c r="L231" s="315">
        <f t="shared" si="72"/>
        <v>0</v>
      </c>
      <c r="M231" s="315">
        <f>M229+M230</f>
        <v>0</v>
      </c>
      <c r="N231" s="315">
        <f>N229+N230</f>
        <v>0</v>
      </c>
    </row>
    <row r="232" spans="1:14" s="298" customFormat="1" ht="15" customHeight="1">
      <c r="A232" s="1168" t="s">
        <v>69</v>
      </c>
      <c r="B232" s="1169"/>
      <c r="C232" s="1170" t="s">
        <v>71</v>
      </c>
      <c r="D232" s="1171"/>
      <c r="E232" s="347" t="s">
        <v>729</v>
      </c>
      <c r="F232" s="1124" t="s">
        <v>728</v>
      </c>
      <c r="G232" s="317" t="s">
        <v>13</v>
      </c>
      <c r="H232" s="316">
        <f t="shared" si="70"/>
        <v>30263741</v>
      </c>
      <c r="I232" s="315">
        <f t="shared" si="71"/>
        <v>30263741</v>
      </c>
      <c r="J232" s="315">
        <v>30263741</v>
      </c>
      <c r="K232" s="315"/>
      <c r="L232" s="315">
        <f t="shared" si="72"/>
        <v>0</v>
      </c>
      <c r="M232" s="315">
        <v>0</v>
      </c>
      <c r="N232" s="315">
        <v>0</v>
      </c>
    </row>
    <row r="233" spans="1:14" s="298" customFormat="1" ht="15" customHeight="1">
      <c r="A233" s="1132"/>
      <c r="B233" s="1133"/>
      <c r="C233" s="1134"/>
      <c r="D233" s="1135"/>
      <c r="E233" s="346"/>
      <c r="F233" s="1126"/>
      <c r="G233" s="317" t="s">
        <v>14</v>
      </c>
      <c r="H233" s="316">
        <f t="shared" si="70"/>
        <v>8967839</v>
      </c>
      <c r="I233" s="315">
        <f t="shared" si="71"/>
        <v>8967839</v>
      </c>
      <c r="J233" s="315">
        <f>8718121+249718</f>
        <v>8967839</v>
      </c>
      <c r="K233" s="315"/>
      <c r="L233" s="315">
        <f t="shared" si="72"/>
        <v>0</v>
      </c>
      <c r="M233" s="315">
        <v>0</v>
      </c>
      <c r="N233" s="315">
        <v>0</v>
      </c>
    </row>
    <row r="234" spans="1:14" s="298" customFormat="1" ht="15" customHeight="1">
      <c r="A234" s="1132"/>
      <c r="B234" s="1133"/>
      <c r="C234" s="1134"/>
      <c r="D234" s="1135"/>
      <c r="E234" s="346"/>
      <c r="F234" s="1128"/>
      <c r="G234" s="317" t="s">
        <v>15</v>
      </c>
      <c r="H234" s="316">
        <f t="shared" si="70"/>
        <v>39231580</v>
      </c>
      <c r="I234" s="315">
        <f t="shared" si="71"/>
        <v>39231580</v>
      </c>
      <c r="J234" s="315">
        <f>J232+J233</f>
        <v>39231580</v>
      </c>
      <c r="K234" s="315">
        <f>K232+K233</f>
        <v>0</v>
      </c>
      <c r="L234" s="315">
        <f t="shared" si="72"/>
        <v>0</v>
      </c>
      <c r="M234" s="315">
        <f>M232+M233</f>
        <v>0</v>
      </c>
      <c r="N234" s="315">
        <f>N232+N233</f>
        <v>0</v>
      </c>
    </row>
    <row r="235" spans="1:14" s="314" customFormat="1" ht="15" customHeight="1">
      <c r="A235" s="1122"/>
      <c r="B235" s="1123"/>
      <c r="C235" s="1130"/>
      <c r="D235" s="1131"/>
      <c r="E235" s="350"/>
      <c r="F235" s="1124" t="s">
        <v>727</v>
      </c>
      <c r="G235" s="317" t="s">
        <v>13</v>
      </c>
      <c r="H235" s="316">
        <f t="shared" si="70"/>
        <v>10000000</v>
      </c>
      <c r="I235" s="315">
        <f t="shared" si="71"/>
        <v>10000000</v>
      </c>
      <c r="J235" s="315">
        <v>10000000</v>
      </c>
      <c r="K235" s="315">
        <v>0</v>
      </c>
      <c r="L235" s="315">
        <f t="shared" si="72"/>
        <v>0</v>
      </c>
      <c r="M235" s="315">
        <v>0</v>
      </c>
      <c r="N235" s="315">
        <v>0</v>
      </c>
    </row>
    <row r="236" spans="1:14" s="314" customFormat="1" ht="15" customHeight="1">
      <c r="A236" s="1122"/>
      <c r="B236" s="1123"/>
      <c r="C236" s="1130"/>
      <c r="D236" s="1131"/>
      <c r="E236" s="350"/>
      <c r="F236" s="1126"/>
      <c r="G236" s="317" t="s">
        <v>14</v>
      </c>
      <c r="H236" s="316">
        <f t="shared" si="70"/>
        <v>9720000</v>
      </c>
      <c r="I236" s="315">
        <f t="shared" si="71"/>
        <v>9720000</v>
      </c>
      <c r="J236" s="315">
        <v>9720000</v>
      </c>
      <c r="K236" s="315">
        <v>0</v>
      </c>
      <c r="L236" s="315">
        <f t="shared" si="72"/>
        <v>0</v>
      </c>
      <c r="M236" s="315">
        <v>0</v>
      </c>
      <c r="N236" s="315">
        <v>0</v>
      </c>
    </row>
    <row r="237" spans="1:14" s="314" customFormat="1" ht="15" customHeight="1">
      <c r="A237" s="1122"/>
      <c r="B237" s="1123"/>
      <c r="C237" s="1130"/>
      <c r="D237" s="1131"/>
      <c r="E237" s="350"/>
      <c r="F237" s="1128"/>
      <c r="G237" s="317" t="s">
        <v>15</v>
      </c>
      <c r="H237" s="316">
        <f t="shared" si="70"/>
        <v>19720000</v>
      </c>
      <c r="I237" s="315">
        <f t="shared" si="71"/>
        <v>19720000</v>
      </c>
      <c r="J237" s="315">
        <f>J235+J236</f>
        <v>19720000</v>
      </c>
      <c r="K237" s="315">
        <f>K235+K236</f>
        <v>0</v>
      </c>
      <c r="L237" s="315">
        <f t="shared" si="72"/>
        <v>0</v>
      </c>
      <c r="M237" s="315">
        <f>M235+M236</f>
        <v>0</v>
      </c>
      <c r="N237" s="315">
        <f>N235+N236</f>
        <v>0</v>
      </c>
    </row>
    <row r="238" spans="1:14" s="314" customFormat="1" ht="15" hidden="1" customHeight="1">
      <c r="A238" s="1122"/>
      <c r="B238" s="1123"/>
      <c r="C238" s="1130"/>
      <c r="D238" s="1131"/>
      <c r="E238" s="350"/>
      <c r="F238" s="1124" t="s">
        <v>726</v>
      </c>
      <c r="G238" s="317" t="s">
        <v>13</v>
      </c>
      <c r="H238" s="316">
        <f t="shared" si="70"/>
        <v>10000000</v>
      </c>
      <c r="I238" s="315">
        <f t="shared" si="71"/>
        <v>9617500</v>
      </c>
      <c r="J238" s="315">
        <v>9617500</v>
      </c>
      <c r="K238" s="315">
        <v>0</v>
      </c>
      <c r="L238" s="315">
        <f t="shared" si="72"/>
        <v>382500</v>
      </c>
      <c r="M238" s="315">
        <v>382500</v>
      </c>
      <c r="N238" s="315">
        <v>0</v>
      </c>
    </row>
    <row r="239" spans="1:14" s="314" customFormat="1" ht="15" hidden="1" customHeight="1">
      <c r="A239" s="1122"/>
      <c r="B239" s="1123"/>
      <c r="C239" s="1130"/>
      <c r="D239" s="1131"/>
      <c r="E239" s="350"/>
      <c r="F239" s="1126"/>
      <c r="G239" s="317" t="s">
        <v>14</v>
      </c>
      <c r="H239" s="316">
        <f t="shared" si="70"/>
        <v>0</v>
      </c>
      <c r="I239" s="315">
        <f t="shared" si="71"/>
        <v>0</v>
      </c>
      <c r="J239" s="315">
        <v>0</v>
      </c>
      <c r="K239" s="315">
        <v>0</v>
      </c>
      <c r="L239" s="315">
        <f t="shared" si="72"/>
        <v>0</v>
      </c>
      <c r="M239" s="315">
        <v>0</v>
      </c>
      <c r="N239" s="315">
        <v>0</v>
      </c>
    </row>
    <row r="240" spans="1:14" s="314" customFormat="1" ht="15" hidden="1" customHeight="1">
      <c r="A240" s="1122"/>
      <c r="B240" s="1123"/>
      <c r="C240" s="1130"/>
      <c r="D240" s="1131"/>
      <c r="E240" s="352"/>
      <c r="F240" s="1128"/>
      <c r="G240" s="317" t="s">
        <v>15</v>
      </c>
      <c r="H240" s="316">
        <f t="shared" si="70"/>
        <v>10000000</v>
      </c>
      <c r="I240" s="315">
        <f t="shared" si="71"/>
        <v>9617500</v>
      </c>
      <c r="J240" s="315">
        <f>J238+J239</f>
        <v>9617500</v>
      </c>
      <c r="K240" s="315">
        <f>K238+K239</f>
        <v>0</v>
      </c>
      <c r="L240" s="315">
        <f t="shared" si="72"/>
        <v>382500</v>
      </c>
      <c r="M240" s="315">
        <f>M238+M239</f>
        <v>382500</v>
      </c>
      <c r="N240" s="315">
        <f>N238+N239</f>
        <v>0</v>
      </c>
    </row>
    <row r="241" spans="1:14" s="298" customFormat="1" ht="15" customHeight="1">
      <c r="A241" s="1132"/>
      <c r="B241" s="1133"/>
      <c r="C241" s="1134"/>
      <c r="D241" s="1135"/>
      <c r="E241" s="347" t="s">
        <v>725</v>
      </c>
      <c r="F241" s="1124" t="s">
        <v>724</v>
      </c>
      <c r="G241" s="317" t="s">
        <v>13</v>
      </c>
      <c r="H241" s="316">
        <f t="shared" si="70"/>
        <v>4110278</v>
      </c>
      <c r="I241" s="315">
        <f t="shared" si="71"/>
        <v>4055027</v>
      </c>
      <c r="J241" s="315">
        <f>20449+4034578</f>
        <v>4055027</v>
      </c>
      <c r="K241" s="315">
        <v>0</v>
      </c>
      <c r="L241" s="315">
        <f t="shared" si="72"/>
        <v>55251</v>
      </c>
      <c r="M241" s="315">
        <v>55251</v>
      </c>
      <c r="N241" s="315">
        <v>0</v>
      </c>
    </row>
    <row r="242" spans="1:14" s="298" customFormat="1" ht="15" customHeight="1">
      <c r="A242" s="1132"/>
      <c r="B242" s="1133"/>
      <c r="C242" s="1134"/>
      <c r="D242" s="1135"/>
      <c r="E242" s="346"/>
      <c r="F242" s="1126"/>
      <c r="G242" s="317" t="s">
        <v>14</v>
      </c>
      <c r="H242" s="316">
        <f t="shared" si="70"/>
        <v>4024191</v>
      </c>
      <c r="I242" s="315">
        <f t="shared" si="71"/>
        <v>3941486</v>
      </c>
      <c r="J242" s="315">
        <f>47551+3893935</f>
        <v>3941486</v>
      </c>
      <c r="K242" s="315">
        <v>0</v>
      </c>
      <c r="L242" s="315">
        <f t="shared" si="72"/>
        <v>82705</v>
      </c>
      <c r="M242" s="315">
        <v>82705</v>
      </c>
      <c r="N242" s="315">
        <v>0</v>
      </c>
    </row>
    <row r="243" spans="1:14" s="298" customFormat="1" ht="15" customHeight="1">
      <c r="A243" s="1181"/>
      <c r="B243" s="1213"/>
      <c r="C243" s="1180"/>
      <c r="D243" s="1214"/>
      <c r="E243" s="346"/>
      <c r="F243" s="1128"/>
      <c r="G243" s="317" t="s">
        <v>15</v>
      </c>
      <c r="H243" s="316">
        <f t="shared" si="70"/>
        <v>8134469</v>
      </c>
      <c r="I243" s="315">
        <f t="shared" si="71"/>
        <v>7996513</v>
      </c>
      <c r="J243" s="315">
        <f>J241+J242</f>
        <v>7996513</v>
      </c>
      <c r="K243" s="315">
        <f>K241+K242</f>
        <v>0</v>
      </c>
      <c r="L243" s="315">
        <f t="shared" si="72"/>
        <v>137956</v>
      </c>
      <c r="M243" s="315">
        <f>M241+M242</f>
        <v>137956</v>
      </c>
      <c r="N243" s="315">
        <f>N241+N242</f>
        <v>0</v>
      </c>
    </row>
    <row r="244" spans="1:14" s="314" customFormat="1" ht="15" hidden="1" customHeight="1">
      <c r="A244" s="1142" t="s">
        <v>28</v>
      </c>
      <c r="B244" s="1143"/>
      <c r="C244" s="1144" t="s">
        <v>123</v>
      </c>
      <c r="D244" s="1145"/>
      <c r="E244" s="351" t="s">
        <v>721</v>
      </c>
      <c r="F244" s="1124" t="s">
        <v>723</v>
      </c>
      <c r="G244" s="317" t="s">
        <v>13</v>
      </c>
      <c r="H244" s="316">
        <f t="shared" si="70"/>
        <v>156000</v>
      </c>
      <c r="I244" s="315">
        <f t="shared" si="71"/>
        <v>156000</v>
      </c>
      <c r="J244" s="315">
        <v>0</v>
      </c>
      <c r="K244" s="315">
        <v>156000</v>
      </c>
      <c r="L244" s="315">
        <f t="shared" si="72"/>
        <v>0</v>
      </c>
      <c r="M244" s="315">
        <v>0</v>
      </c>
      <c r="N244" s="315">
        <v>0</v>
      </c>
    </row>
    <row r="245" spans="1:14" s="314" customFormat="1" ht="15" hidden="1" customHeight="1">
      <c r="A245" s="1122"/>
      <c r="B245" s="1123"/>
      <c r="C245" s="1130"/>
      <c r="D245" s="1131"/>
      <c r="E245" s="350"/>
      <c r="F245" s="1126"/>
      <c r="G245" s="317" t="s">
        <v>14</v>
      </c>
      <c r="H245" s="316">
        <f t="shared" si="70"/>
        <v>0</v>
      </c>
      <c r="I245" s="315">
        <f t="shared" si="71"/>
        <v>0</v>
      </c>
      <c r="J245" s="315">
        <v>0</v>
      </c>
      <c r="K245" s="315">
        <v>0</v>
      </c>
      <c r="L245" s="315">
        <f t="shared" si="72"/>
        <v>0</v>
      </c>
      <c r="M245" s="315">
        <v>0</v>
      </c>
      <c r="N245" s="315">
        <v>0</v>
      </c>
    </row>
    <row r="246" spans="1:14" s="314" customFormat="1" ht="15" hidden="1" customHeight="1">
      <c r="A246" s="1122"/>
      <c r="B246" s="1123"/>
      <c r="C246" s="1130"/>
      <c r="D246" s="1131"/>
      <c r="E246" s="350"/>
      <c r="F246" s="1128"/>
      <c r="G246" s="317" t="s">
        <v>15</v>
      </c>
      <c r="H246" s="316">
        <f t="shared" ref="H246:H277" si="73">I246+L246</f>
        <v>156000</v>
      </c>
      <c r="I246" s="315">
        <f t="shared" ref="I246:I277" si="74">J246+K246</f>
        <v>156000</v>
      </c>
      <c r="J246" s="315">
        <f>J244+J245</f>
        <v>0</v>
      </c>
      <c r="K246" s="315">
        <f>K244+K245</f>
        <v>156000</v>
      </c>
      <c r="L246" s="315">
        <f t="shared" ref="L246:L277" si="75">M246+N246</f>
        <v>0</v>
      </c>
      <c r="M246" s="315">
        <f>M244+M245</f>
        <v>0</v>
      </c>
      <c r="N246" s="315">
        <f>N244+N245</f>
        <v>0</v>
      </c>
    </row>
    <row r="247" spans="1:14" s="298" customFormat="1" ht="15" hidden="1" customHeight="1">
      <c r="A247" s="1132"/>
      <c r="B247" s="1133"/>
      <c r="C247" s="1134"/>
      <c r="D247" s="1135"/>
      <c r="E247" s="346"/>
      <c r="F247" s="1124" t="s">
        <v>722</v>
      </c>
      <c r="G247" s="317" t="s">
        <v>13</v>
      </c>
      <c r="H247" s="316">
        <f t="shared" si="73"/>
        <v>5000</v>
      </c>
      <c r="I247" s="315">
        <f t="shared" si="74"/>
        <v>5000</v>
      </c>
      <c r="J247" s="315">
        <v>0</v>
      </c>
      <c r="K247" s="315">
        <v>5000</v>
      </c>
      <c r="L247" s="315">
        <f t="shared" si="75"/>
        <v>0</v>
      </c>
      <c r="M247" s="315">
        <v>0</v>
      </c>
      <c r="N247" s="315">
        <v>0</v>
      </c>
    </row>
    <row r="248" spans="1:14" s="298" customFormat="1" ht="15" hidden="1" customHeight="1">
      <c r="A248" s="1132"/>
      <c r="B248" s="1133"/>
      <c r="C248" s="1134"/>
      <c r="D248" s="1135"/>
      <c r="E248" s="346"/>
      <c r="F248" s="1126"/>
      <c r="G248" s="317" t="s">
        <v>14</v>
      </c>
      <c r="H248" s="316">
        <f t="shared" si="73"/>
        <v>0</v>
      </c>
      <c r="I248" s="315">
        <f t="shared" si="74"/>
        <v>0</v>
      </c>
      <c r="J248" s="315">
        <v>0</v>
      </c>
      <c r="K248" s="315">
        <v>0</v>
      </c>
      <c r="L248" s="315">
        <f t="shared" si="75"/>
        <v>0</v>
      </c>
      <c r="M248" s="315">
        <v>0</v>
      </c>
      <c r="N248" s="315">
        <v>0</v>
      </c>
    </row>
    <row r="249" spans="1:14" s="298" customFormat="1" ht="15" hidden="1" customHeight="1">
      <c r="A249" s="1132"/>
      <c r="B249" s="1172"/>
      <c r="C249" s="1134"/>
      <c r="D249" s="1172"/>
      <c r="E249" s="346"/>
      <c r="F249" s="1128"/>
      <c r="G249" s="317" t="s">
        <v>15</v>
      </c>
      <c r="H249" s="316">
        <f t="shared" si="73"/>
        <v>5000</v>
      </c>
      <c r="I249" s="315">
        <f t="shared" si="74"/>
        <v>5000</v>
      </c>
      <c r="J249" s="315">
        <f>J247+J248</f>
        <v>0</v>
      </c>
      <c r="K249" s="315">
        <f>K247+K248</f>
        <v>5000</v>
      </c>
      <c r="L249" s="315">
        <f t="shared" si="75"/>
        <v>0</v>
      </c>
      <c r="M249" s="315">
        <f>M247+M248</f>
        <v>0</v>
      </c>
      <c r="N249" s="315">
        <f>N247+N248</f>
        <v>0</v>
      </c>
    </row>
    <row r="250" spans="1:14" s="314" customFormat="1" ht="15" customHeight="1">
      <c r="A250" s="1122" t="s">
        <v>28</v>
      </c>
      <c r="B250" s="1123"/>
      <c r="C250" s="1130" t="s">
        <v>123</v>
      </c>
      <c r="D250" s="1131"/>
      <c r="E250" s="351" t="s">
        <v>721</v>
      </c>
      <c r="F250" s="1124" t="s">
        <v>720</v>
      </c>
      <c r="G250" s="317" t="s">
        <v>13</v>
      </c>
      <c r="H250" s="316">
        <f t="shared" si="73"/>
        <v>3846589</v>
      </c>
      <c r="I250" s="315">
        <f t="shared" si="74"/>
        <v>0</v>
      </c>
      <c r="J250" s="315">
        <v>0</v>
      </c>
      <c r="K250" s="315">
        <v>0</v>
      </c>
      <c r="L250" s="315">
        <f t="shared" si="75"/>
        <v>3846589</v>
      </c>
      <c r="M250" s="315">
        <v>0</v>
      </c>
      <c r="N250" s="315">
        <v>3846589</v>
      </c>
    </row>
    <row r="251" spans="1:14" s="314" customFormat="1" ht="15" customHeight="1">
      <c r="A251" s="1122"/>
      <c r="B251" s="1172"/>
      <c r="C251" s="1130"/>
      <c r="D251" s="1172"/>
      <c r="E251" s="350"/>
      <c r="F251" s="1126"/>
      <c r="G251" s="317" t="s">
        <v>14</v>
      </c>
      <c r="H251" s="316">
        <f t="shared" si="73"/>
        <v>-1594351</v>
      </c>
      <c r="I251" s="315">
        <f t="shared" si="74"/>
        <v>0</v>
      </c>
      <c r="J251" s="315">
        <v>0</v>
      </c>
      <c r="K251" s="315">
        <v>0</v>
      </c>
      <c r="L251" s="315">
        <f t="shared" si="75"/>
        <v>-1594351</v>
      </c>
      <c r="M251" s="315">
        <v>0</v>
      </c>
      <c r="N251" s="315">
        <v>-1594351</v>
      </c>
    </row>
    <row r="252" spans="1:14" s="314" customFormat="1" ht="15" customHeight="1">
      <c r="A252" s="1150"/>
      <c r="B252" s="1173"/>
      <c r="C252" s="1152"/>
      <c r="D252" s="1173"/>
      <c r="E252" s="350"/>
      <c r="F252" s="1128"/>
      <c r="G252" s="317" t="s">
        <v>15</v>
      </c>
      <c r="H252" s="316">
        <f t="shared" si="73"/>
        <v>2252238</v>
      </c>
      <c r="I252" s="315">
        <f t="shared" si="74"/>
        <v>0</v>
      </c>
      <c r="J252" s="315">
        <f>J250+J251</f>
        <v>0</v>
      </c>
      <c r="K252" s="315">
        <f>K250+K251</f>
        <v>0</v>
      </c>
      <c r="L252" s="315">
        <f t="shared" si="75"/>
        <v>2252238</v>
      </c>
      <c r="M252" s="315">
        <f>M250+M251</f>
        <v>0</v>
      </c>
      <c r="N252" s="315">
        <f>N250+N251</f>
        <v>2252238</v>
      </c>
    </row>
    <row r="253" spans="1:14" s="314" customFormat="1" ht="15" hidden="1" customHeight="1">
      <c r="A253" s="1142" t="s">
        <v>126</v>
      </c>
      <c r="B253" s="1143"/>
      <c r="C253" s="1144" t="s">
        <v>719</v>
      </c>
      <c r="D253" s="1145"/>
      <c r="E253" s="351" t="s">
        <v>718</v>
      </c>
      <c r="F253" s="1124" t="s">
        <v>717</v>
      </c>
      <c r="G253" s="317" t="s">
        <v>13</v>
      </c>
      <c r="H253" s="316">
        <f t="shared" si="73"/>
        <v>1037995</v>
      </c>
      <c r="I253" s="315">
        <f t="shared" si="74"/>
        <v>0</v>
      </c>
      <c r="J253" s="315">
        <v>0</v>
      </c>
      <c r="K253" s="315">
        <v>0</v>
      </c>
      <c r="L253" s="315">
        <f t="shared" si="75"/>
        <v>1037995</v>
      </c>
      <c r="M253" s="315">
        <v>1037995</v>
      </c>
      <c r="N253" s="315">
        <v>0</v>
      </c>
    </row>
    <row r="254" spans="1:14" s="314" customFormat="1" ht="15" hidden="1" customHeight="1">
      <c r="A254" s="1122"/>
      <c r="B254" s="1123"/>
      <c r="C254" s="1130"/>
      <c r="D254" s="1131"/>
      <c r="E254" s="350"/>
      <c r="F254" s="1126"/>
      <c r="G254" s="317" t="s">
        <v>14</v>
      </c>
      <c r="H254" s="316">
        <f t="shared" si="73"/>
        <v>0</v>
      </c>
      <c r="I254" s="315">
        <f t="shared" si="74"/>
        <v>0</v>
      </c>
      <c r="J254" s="315">
        <v>0</v>
      </c>
      <c r="K254" s="315">
        <v>0</v>
      </c>
      <c r="L254" s="315">
        <f t="shared" si="75"/>
        <v>0</v>
      </c>
      <c r="M254" s="315">
        <v>0</v>
      </c>
      <c r="N254" s="315">
        <v>0</v>
      </c>
    </row>
    <row r="255" spans="1:14" s="314" customFormat="1" ht="15" hidden="1" customHeight="1">
      <c r="A255" s="1122"/>
      <c r="B255" s="1123"/>
      <c r="C255" s="1130"/>
      <c r="D255" s="1131"/>
      <c r="E255" s="350"/>
      <c r="F255" s="1128"/>
      <c r="G255" s="317" t="s">
        <v>15</v>
      </c>
      <c r="H255" s="316">
        <f t="shared" si="73"/>
        <v>1037995</v>
      </c>
      <c r="I255" s="315">
        <f t="shared" si="74"/>
        <v>0</v>
      </c>
      <c r="J255" s="315">
        <f>J253+J254</f>
        <v>0</v>
      </c>
      <c r="K255" s="315">
        <f>K253+K254</f>
        <v>0</v>
      </c>
      <c r="L255" s="315">
        <f t="shared" si="75"/>
        <v>1037995</v>
      </c>
      <c r="M255" s="315">
        <f>M253+M254</f>
        <v>1037995</v>
      </c>
      <c r="N255" s="315">
        <f>N253+N254</f>
        <v>0</v>
      </c>
    </row>
    <row r="256" spans="1:14" s="298" customFormat="1" ht="15" hidden="1" customHeight="1">
      <c r="A256" s="1168" t="s">
        <v>31</v>
      </c>
      <c r="B256" s="1169"/>
      <c r="C256" s="1170" t="s">
        <v>716</v>
      </c>
      <c r="D256" s="1171"/>
      <c r="E256" s="347" t="s">
        <v>715</v>
      </c>
      <c r="F256" s="1124" t="s">
        <v>714</v>
      </c>
      <c r="G256" s="317" t="s">
        <v>13</v>
      </c>
      <c r="H256" s="316">
        <f t="shared" si="73"/>
        <v>192660</v>
      </c>
      <c r="I256" s="315">
        <f t="shared" si="74"/>
        <v>192660</v>
      </c>
      <c r="J256" s="315">
        <v>192660</v>
      </c>
      <c r="K256" s="315">
        <v>0</v>
      </c>
      <c r="L256" s="315">
        <f t="shared" si="75"/>
        <v>0</v>
      </c>
      <c r="M256" s="315">
        <v>0</v>
      </c>
      <c r="N256" s="315">
        <v>0</v>
      </c>
    </row>
    <row r="257" spans="1:14" s="298" customFormat="1" ht="15" hidden="1" customHeight="1">
      <c r="A257" s="1132"/>
      <c r="B257" s="1172"/>
      <c r="C257" s="1134"/>
      <c r="D257" s="1172"/>
      <c r="E257" s="346"/>
      <c r="F257" s="1126"/>
      <c r="G257" s="317" t="s">
        <v>14</v>
      </c>
      <c r="H257" s="316">
        <f t="shared" si="73"/>
        <v>0</v>
      </c>
      <c r="I257" s="315">
        <f t="shared" si="74"/>
        <v>0</v>
      </c>
      <c r="J257" s="315">
        <v>0</v>
      </c>
      <c r="K257" s="315">
        <v>0</v>
      </c>
      <c r="L257" s="315">
        <f t="shared" si="75"/>
        <v>0</v>
      </c>
      <c r="M257" s="315">
        <v>0</v>
      </c>
      <c r="N257" s="315">
        <v>0</v>
      </c>
    </row>
    <row r="258" spans="1:14" s="298" customFormat="1" ht="15" hidden="1" customHeight="1">
      <c r="A258" s="1132"/>
      <c r="B258" s="1172"/>
      <c r="C258" s="1180"/>
      <c r="D258" s="1173"/>
      <c r="E258" s="346"/>
      <c r="F258" s="1128"/>
      <c r="G258" s="317" t="s">
        <v>15</v>
      </c>
      <c r="H258" s="316">
        <f t="shared" si="73"/>
        <v>192660</v>
      </c>
      <c r="I258" s="315">
        <f t="shared" si="74"/>
        <v>192660</v>
      </c>
      <c r="J258" s="315">
        <f>J256+J257</f>
        <v>192660</v>
      </c>
      <c r="K258" s="315">
        <f>K256+K257</f>
        <v>0</v>
      </c>
      <c r="L258" s="315">
        <f t="shared" si="75"/>
        <v>0</v>
      </c>
      <c r="M258" s="315">
        <f>M256+M257</f>
        <v>0</v>
      </c>
      <c r="N258" s="315">
        <f>N256+N257</f>
        <v>0</v>
      </c>
    </row>
    <row r="259" spans="1:14" s="298" customFormat="1" ht="15" hidden="1" customHeight="1">
      <c r="A259" s="1132"/>
      <c r="B259" s="1133"/>
      <c r="C259" s="1170" t="s">
        <v>713</v>
      </c>
      <c r="D259" s="1171"/>
      <c r="E259" s="347" t="s">
        <v>712</v>
      </c>
      <c r="F259" s="1124" t="s">
        <v>711</v>
      </c>
      <c r="G259" s="317" t="s">
        <v>13</v>
      </c>
      <c r="H259" s="316">
        <f t="shared" si="73"/>
        <v>19129</v>
      </c>
      <c r="I259" s="315">
        <f t="shared" si="74"/>
        <v>0</v>
      </c>
      <c r="J259" s="315">
        <v>0</v>
      </c>
      <c r="K259" s="315">
        <v>0</v>
      </c>
      <c r="L259" s="315">
        <f t="shared" si="75"/>
        <v>19129</v>
      </c>
      <c r="M259" s="315">
        <v>19129</v>
      </c>
      <c r="N259" s="315">
        <v>0</v>
      </c>
    </row>
    <row r="260" spans="1:14" s="298" customFormat="1" ht="15" hidden="1" customHeight="1">
      <c r="A260" s="1132"/>
      <c r="B260" s="1172"/>
      <c r="C260" s="1134"/>
      <c r="D260" s="1172"/>
      <c r="E260" s="346"/>
      <c r="F260" s="1126"/>
      <c r="G260" s="317" t="s">
        <v>14</v>
      </c>
      <c r="H260" s="316">
        <f t="shared" si="73"/>
        <v>0</v>
      </c>
      <c r="I260" s="315">
        <f t="shared" si="74"/>
        <v>0</v>
      </c>
      <c r="J260" s="315">
        <v>0</v>
      </c>
      <c r="K260" s="315">
        <v>0</v>
      </c>
      <c r="L260" s="315">
        <f t="shared" si="75"/>
        <v>0</v>
      </c>
      <c r="M260" s="315">
        <v>0</v>
      </c>
      <c r="N260" s="315">
        <v>0</v>
      </c>
    </row>
    <row r="261" spans="1:14" s="298" customFormat="1" ht="15" hidden="1" customHeight="1">
      <c r="A261" s="1132"/>
      <c r="B261" s="1172"/>
      <c r="C261" s="1180"/>
      <c r="D261" s="1173"/>
      <c r="E261" s="346"/>
      <c r="F261" s="1128"/>
      <c r="G261" s="317" t="s">
        <v>15</v>
      </c>
      <c r="H261" s="316">
        <f t="shared" si="73"/>
        <v>19129</v>
      </c>
      <c r="I261" s="315">
        <f t="shared" si="74"/>
        <v>0</v>
      </c>
      <c r="J261" s="315">
        <f>J259+J260</f>
        <v>0</v>
      </c>
      <c r="K261" s="315">
        <f>K259+K260</f>
        <v>0</v>
      </c>
      <c r="L261" s="315">
        <f t="shared" si="75"/>
        <v>19129</v>
      </c>
      <c r="M261" s="315">
        <f>M259+M260</f>
        <v>19129</v>
      </c>
      <c r="N261" s="315">
        <f>N259+N260</f>
        <v>0</v>
      </c>
    </row>
    <row r="262" spans="1:14" s="314" customFormat="1" ht="15" hidden="1" customHeight="1">
      <c r="A262" s="1122"/>
      <c r="B262" s="1123"/>
      <c r="C262" s="1144" t="s">
        <v>155</v>
      </c>
      <c r="D262" s="1145"/>
      <c r="E262" s="351" t="s">
        <v>710</v>
      </c>
      <c r="F262" s="1124" t="s">
        <v>709</v>
      </c>
      <c r="G262" s="317" t="s">
        <v>13</v>
      </c>
      <c r="H262" s="316">
        <f t="shared" si="73"/>
        <v>446832</v>
      </c>
      <c r="I262" s="315">
        <f t="shared" si="74"/>
        <v>446832</v>
      </c>
      <c r="J262" s="315">
        <v>446832</v>
      </c>
      <c r="K262" s="315">
        <v>0</v>
      </c>
      <c r="L262" s="315">
        <f t="shared" si="75"/>
        <v>0</v>
      </c>
      <c r="M262" s="315">
        <v>0</v>
      </c>
      <c r="N262" s="315">
        <v>0</v>
      </c>
    </row>
    <row r="263" spans="1:14" s="314" customFormat="1" ht="15" hidden="1" customHeight="1">
      <c r="A263" s="1122"/>
      <c r="B263" s="1172"/>
      <c r="C263" s="1130"/>
      <c r="D263" s="1172"/>
      <c r="E263" s="350"/>
      <c r="F263" s="1126"/>
      <c r="G263" s="317" t="s">
        <v>14</v>
      </c>
      <c r="H263" s="316">
        <f t="shared" si="73"/>
        <v>0</v>
      </c>
      <c r="I263" s="315">
        <f t="shared" si="74"/>
        <v>0</v>
      </c>
      <c r="J263" s="315">
        <v>0</v>
      </c>
      <c r="K263" s="315">
        <v>0</v>
      </c>
      <c r="L263" s="315">
        <f t="shared" si="75"/>
        <v>0</v>
      </c>
      <c r="M263" s="315">
        <v>0</v>
      </c>
      <c r="N263" s="315">
        <v>0</v>
      </c>
    </row>
    <row r="264" spans="1:14" s="314" customFormat="1" ht="15" hidden="1" customHeight="1">
      <c r="A264" s="1122"/>
      <c r="B264" s="1172"/>
      <c r="C264" s="1130"/>
      <c r="D264" s="1172"/>
      <c r="E264" s="350"/>
      <c r="F264" s="1128"/>
      <c r="G264" s="317" t="s">
        <v>15</v>
      </c>
      <c r="H264" s="316">
        <f t="shared" si="73"/>
        <v>446832</v>
      </c>
      <c r="I264" s="315">
        <f t="shared" si="74"/>
        <v>446832</v>
      </c>
      <c r="J264" s="315">
        <f>J262+J263</f>
        <v>446832</v>
      </c>
      <c r="K264" s="315">
        <f>K262+K263</f>
        <v>0</v>
      </c>
      <c r="L264" s="315">
        <f t="shared" si="75"/>
        <v>0</v>
      </c>
      <c r="M264" s="315">
        <f>M262+M263</f>
        <v>0</v>
      </c>
      <c r="N264" s="315">
        <f>N262+N263</f>
        <v>0</v>
      </c>
    </row>
    <row r="265" spans="1:14" s="298" customFormat="1" ht="15" hidden="1" customHeight="1">
      <c r="A265" s="1132"/>
      <c r="B265" s="1133"/>
      <c r="C265" s="1134"/>
      <c r="D265" s="1135"/>
      <c r="E265" s="347" t="s">
        <v>708</v>
      </c>
      <c r="F265" s="1124" t="s">
        <v>707</v>
      </c>
      <c r="G265" s="317" t="s">
        <v>13</v>
      </c>
      <c r="H265" s="316">
        <f t="shared" si="73"/>
        <v>680000</v>
      </c>
      <c r="I265" s="315">
        <f t="shared" si="74"/>
        <v>588000</v>
      </c>
      <c r="J265" s="315">
        <v>73000</v>
      </c>
      <c r="K265" s="315">
        <v>515000</v>
      </c>
      <c r="L265" s="315">
        <f t="shared" si="75"/>
        <v>92000</v>
      </c>
      <c r="M265" s="315">
        <v>2000</v>
      </c>
      <c r="N265" s="315">
        <v>90000</v>
      </c>
    </row>
    <row r="266" spans="1:14" s="298" customFormat="1" ht="15" hidden="1" customHeight="1">
      <c r="A266" s="1132"/>
      <c r="B266" s="1172"/>
      <c r="C266" s="1134"/>
      <c r="D266" s="1172"/>
      <c r="E266" s="346"/>
      <c r="F266" s="1126"/>
      <c r="G266" s="317" t="s">
        <v>14</v>
      </c>
      <c r="H266" s="316">
        <f t="shared" si="73"/>
        <v>0</v>
      </c>
      <c r="I266" s="315">
        <f t="shared" si="74"/>
        <v>0</v>
      </c>
      <c r="J266" s="315">
        <v>0</v>
      </c>
      <c r="K266" s="315">
        <v>0</v>
      </c>
      <c r="L266" s="315">
        <f t="shared" si="75"/>
        <v>0</v>
      </c>
      <c r="M266" s="315">
        <v>0</v>
      </c>
      <c r="N266" s="315">
        <v>0</v>
      </c>
    </row>
    <row r="267" spans="1:14" s="298" customFormat="1" ht="15" hidden="1" customHeight="1">
      <c r="A267" s="1132"/>
      <c r="B267" s="1172"/>
      <c r="C267" s="1134"/>
      <c r="D267" s="1172"/>
      <c r="E267" s="346"/>
      <c r="F267" s="1128"/>
      <c r="G267" s="317" t="s">
        <v>15</v>
      </c>
      <c r="H267" s="316">
        <f t="shared" si="73"/>
        <v>680000</v>
      </c>
      <c r="I267" s="315">
        <f t="shared" si="74"/>
        <v>588000</v>
      </c>
      <c r="J267" s="315">
        <f>J265+J266</f>
        <v>73000</v>
      </c>
      <c r="K267" s="315">
        <f>K265+K266</f>
        <v>515000</v>
      </c>
      <c r="L267" s="315">
        <f t="shared" si="75"/>
        <v>92000</v>
      </c>
      <c r="M267" s="315">
        <f>M265+M266</f>
        <v>2000</v>
      </c>
      <c r="N267" s="315">
        <f>N265+N266</f>
        <v>90000</v>
      </c>
    </row>
    <row r="268" spans="1:14" s="298" customFormat="1" ht="15" hidden="1" customHeight="1">
      <c r="A268" s="1132"/>
      <c r="B268" s="1133"/>
      <c r="C268" s="1134"/>
      <c r="D268" s="1135"/>
      <c r="E268" s="347" t="s">
        <v>706</v>
      </c>
      <c r="F268" s="1124" t="s">
        <v>705</v>
      </c>
      <c r="G268" s="317" t="s">
        <v>13</v>
      </c>
      <c r="H268" s="316">
        <f t="shared" si="73"/>
        <v>570000</v>
      </c>
      <c r="I268" s="315">
        <f t="shared" si="74"/>
        <v>480000</v>
      </c>
      <c r="J268" s="315">
        <f>15000+15000</f>
        <v>30000</v>
      </c>
      <c r="K268" s="315">
        <f>375000+75000</f>
        <v>450000</v>
      </c>
      <c r="L268" s="315">
        <f t="shared" si="75"/>
        <v>90000</v>
      </c>
      <c r="M268" s="315">
        <v>15000</v>
      </c>
      <c r="N268" s="315">
        <v>75000</v>
      </c>
    </row>
    <row r="269" spans="1:14" s="298" customFormat="1" ht="15" hidden="1" customHeight="1">
      <c r="A269" s="1132"/>
      <c r="B269" s="1172"/>
      <c r="C269" s="1134"/>
      <c r="D269" s="1172"/>
      <c r="E269" s="346"/>
      <c r="F269" s="1126"/>
      <c r="G269" s="317" t="s">
        <v>14</v>
      </c>
      <c r="H269" s="316">
        <f t="shared" si="73"/>
        <v>0</v>
      </c>
      <c r="I269" s="315">
        <f t="shared" si="74"/>
        <v>0</v>
      </c>
      <c r="J269" s="315">
        <v>0</v>
      </c>
      <c r="K269" s="315">
        <v>0</v>
      </c>
      <c r="L269" s="315">
        <f t="shared" si="75"/>
        <v>0</v>
      </c>
      <c r="M269" s="315">
        <v>0</v>
      </c>
      <c r="N269" s="315">
        <v>0</v>
      </c>
    </row>
    <row r="270" spans="1:14" s="298" customFormat="1" ht="15" hidden="1" customHeight="1">
      <c r="A270" s="1132"/>
      <c r="B270" s="1172"/>
      <c r="C270" s="1134"/>
      <c r="D270" s="1172"/>
      <c r="E270" s="346"/>
      <c r="F270" s="1128"/>
      <c r="G270" s="317" t="s">
        <v>15</v>
      </c>
      <c r="H270" s="316">
        <f t="shared" si="73"/>
        <v>570000</v>
      </c>
      <c r="I270" s="315">
        <f t="shared" si="74"/>
        <v>480000</v>
      </c>
      <c r="J270" s="315">
        <f>J268+J269</f>
        <v>30000</v>
      </c>
      <c r="K270" s="315">
        <f>K268+K269</f>
        <v>450000</v>
      </c>
      <c r="L270" s="315">
        <f t="shared" si="75"/>
        <v>90000</v>
      </c>
      <c r="M270" s="315">
        <f>M268+M269</f>
        <v>15000</v>
      </c>
      <c r="N270" s="315">
        <f>N268+N269</f>
        <v>75000</v>
      </c>
    </row>
    <row r="271" spans="1:14" s="298" customFormat="1" ht="15" hidden="1" customHeight="1">
      <c r="A271" s="1132"/>
      <c r="B271" s="1133"/>
      <c r="C271" s="1134"/>
      <c r="D271" s="1135"/>
      <c r="E271" s="347" t="s">
        <v>703</v>
      </c>
      <c r="F271" s="1124" t="s">
        <v>704</v>
      </c>
      <c r="G271" s="317" t="s">
        <v>13</v>
      </c>
      <c r="H271" s="316">
        <f t="shared" si="73"/>
        <v>215803</v>
      </c>
      <c r="I271" s="315">
        <f t="shared" si="74"/>
        <v>215803</v>
      </c>
      <c r="J271" s="315">
        <v>0</v>
      </c>
      <c r="K271" s="315">
        <v>215803</v>
      </c>
      <c r="L271" s="315">
        <f t="shared" si="75"/>
        <v>0</v>
      </c>
      <c r="M271" s="315">
        <v>0</v>
      </c>
      <c r="N271" s="315">
        <v>0</v>
      </c>
    </row>
    <row r="272" spans="1:14" s="298" customFormat="1" ht="15" hidden="1" customHeight="1">
      <c r="A272" s="1132"/>
      <c r="B272" s="1172"/>
      <c r="C272" s="1134"/>
      <c r="D272" s="1172"/>
      <c r="E272" s="346"/>
      <c r="F272" s="1126"/>
      <c r="G272" s="317" t="s">
        <v>14</v>
      </c>
      <c r="H272" s="316">
        <f t="shared" si="73"/>
        <v>0</v>
      </c>
      <c r="I272" s="315">
        <f t="shared" si="74"/>
        <v>0</v>
      </c>
      <c r="J272" s="315">
        <v>0</v>
      </c>
      <c r="K272" s="315">
        <v>0</v>
      </c>
      <c r="L272" s="315">
        <f t="shared" si="75"/>
        <v>0</v>
      </c>
      <c r="M272" s="315">
        <v>0</v>
      </c>
      <c r="N272" s="315">
        <v>0</v>
      </c>
    </row>
    <row r="273" spans="1:14" s="298" customFormat="1" ht="15" hidden="1" customHeight="1">
      <c r="A273" s="1132"/>
      <c r="B273" s="1172"/>
      <c r="C273" s="1134"/>
      <c r="D273" s="1172"/>
      <c r="E273" s="346"/>
      <c r="F273" s="1128"/>
      <c r="G273" s="317" t="s">
        <v>15</v>
      </c>
      <c r="H273" s="316">
        <f t="shared" si="73"/>
        <v>215803</v>
      </c>
      <c r="I273" s="315">
        <f t="shared" si="74"/>
        <v>215803</v>
      </c>
      <c r="J273" s="315">
        <f>J271+J272</f>
        <v>0</v>
      </c>
      <c r="K273" s="315">
        <f>K271+K272</f>
        <v>215803</v>
      </c>
      <c r="L273" s="315">
        <f t="shared" si="75"/>
        <v>0</v>
      </c>
      <c r="M273" s="315">
        <f>M271+M272</f>
        <v>0</v>
      </c>
      <c r="N273" s="315">
        <f>N271+N272</f>
        <v>0</v>
      </c>
    </row>
    <row r="274" spans="1:14" s="298" customFormat="1" ht="15" customHeight="1">
      <c r="A274" s="1168" t="s">
        <v>31</v>
      </c>
      <c r="B274" s="1169"/>
      <c r="C274" s="1170" t="s">
        <v>155</v>
      </c>
      <c r="D274" s="1171"/>
      <c r="E274" s="347" t="s">
        <v>703</v>
      </c>
      <c r="F274" s="1124" t="s">
        <v>702</v>
      </c>
      <c r="G274" s="317" t="s">
        <v>13</v>
      </c>
      <c r="H274" s="316">
        <f t="shared" si="73"/>
        <v>313600</v>
      </c>
      <c r="I274" s="315">
        <f t="shared" si="74"/>
        <v>313600</v>
      </c>
      <c r="J274" s="315">
        <v>0</v>
      </c>
      <c r="K274" s="315">
        <v>313600</v>
      </c>
      <c r="L274" s="315">
        <f t="shared" si="75"/>
        <v>0</v>
      </c>
      <c r="M274" s="315">
        <v>0</v>
      </c>
      <c r="N274" s="315">
        <v>0</v>
      </c>
    </row>
    <row r="275" spans="1:14" s="298" customFormat="1" ht="15" customHeight="1">
      <c r="A275" s="1132"/>
      <c r="B275" s="1172"/>
      <c r="C275" s="1134"/>
      <c r="D275" s="1172"/>
      <c r="E275" s="346"/>
      <c r="F275" s="1126"/>
      <c r="G275" s="317" t="s">
        <v>14</v>
      </c>
      <c r="H275" s="316">
        <f t="shared" si="73"/>
        <v>220820</v>
      </c>
      <c r="I275" s="315">
        <f t="shared" si="74"/>
        <v>220820</v>
      </c>
      <c r="J275" s="315">
        <v>0</v>
      </c>
      <c r="K275" s="315">
        <v>220820</v>
      </c>
      <c r="L275" s="315">
        <f t="shared" si="75"/>
        <v>0</v>
      </c>
      <c r="M275" s="315">
        <v>0</v>
      </c>
      <c r="N275" s="315">
        <v>0</v>
      </c>
    </row>
    <row r="276" spans="1:14" s="298" customFormat="1" ht="15" customHeight="1">
      <c r="A276" s="1132"/>
      <c r="B276" s="1172"/>
      <c r="C276" s="1134"/>
      <c r="D276" s="1172"/>
      <c r="E276" s="346"/>
      <c r="F276" s="1128"/>
      <c r="G276" s="317" t="s">
        <v>15</v>
      </c>
      <c r="H276" s="316">
        <f t="shared" si="73"/>
        <v>534420</v>
      </c>
      <c r="I276" s="315">
        <f t="shared" si="74"/>
        <v>534420</v>
      </c>
      <c r="J276" s="315">
        <f>J274+J275</f>
        <v>0</v>
      </c>
      <c r="K276" s="315">
        <f>K274+K275</f>
        <v>534420</v>
      </c>
      <c r="L276" s="315">
        <f t="shared" si="75"/>
        <v>0</v>
      </c>
      <c r="M276" s="315">
        <f>M274+M275</f>
        <v>0</v>
      </c>
      <c r="N276" s="315">
        <f>N274+N275</f>
        <v>0</v>
      </c>
    </row>
    <row r="277" spans="1:14" s="298" customFormat="1" ht="15" hidden="1" customHeight="1">
      <c r="A277" s="1132"/>
      <c r="B277" s="1133"/>
      <c r="C277" s="1134"/>
      <c r="D277" s="1135"/>
      <c r="E277" s="346"/>
      <c r="F277" s="1124" t="s">
        <v>701</v>
      </c>
      <c r="G277" s="317" t="s">
        <v>13</v>
      </c>
      <c r="H277" s="316">
        <f t="shared" si="73"/>
        <v>668000</v>
      </c>
      <c r="I277" s="315">
        <f t="shared" si="74"/>
        <v>512000</v>
      </c>
      <c r="J277" s="315">
        <v>15000</v>
      </c>
      <c r="K277" s="315">
        <f>480000+17000</f>
        <v>497000</v>
      </c>
      <c r="L277" s="315">
        <f t="shared" si="75"/>
        <v>156000</v>
      </c>
      <c r="M277" s="315">
        <v>15000</v>
      </c>
      <c r="N277" s="315">
        <v>141000</v>
      </c>
    </row>
    <row r="278" spans="1:14" s="298" customFormat="1" ht="15" hidden="1" customHeight="1">
      <c r="A278" s="1132"/>
      <c r="B278" s="1172"/>
      <c r="C278" s="1134"/>
      <c r="D278" s="1172"/>
      <c r="E278" s="346"/>
      <c r="F278" s="1126"/>
      <c r="G278" s="317" t="s">
        <v>14</v>
      </c>
      <c r="H278" s="316">
        <f t="shared" ref="H278:H309" si="76">I278+L278</f>
        <v>0</v>
      </c>
      <c r="I278" s="315">
        <f t="shared" ref="I278:I309" si="77">J278+K278</f>
        <v>0</v>
      </c>
      <c r="J278" s="315">
        <v>0</v>
      </c>
      <c r="K278" s="315">
        <v>0</v>
      </c>
      <c r="L278" s="315">
        <f t="shared" ref="L278:L309" si="78">M278+N278</f>
        <v>0</v>
      </c>
      <c r="M278" s="315">
        <v>0</v>
      </c>
      <c r="N278" s="315">
        <v>0</v>
      </c>
    </row>
    <row r="279" spans="1:14" s="298" customFormat="1" ht="15" hidden="1" customHeight="1">
      <c r="A279" s="1132"/>
      <c r="B279" s="1172"/>
      <c r="C279" s="1134"/>
      <c r="D279" s="1172"/>
      <c r="E279" s="346"/>
      <c r="F279" s="1128"/>
      <c r="G279" s="317" t="s">
        <v>15</v>
      </c>
      <c r="H279" s="316">
        <f t="shared" si="76"/>
        <v>668000</v>
      </c>
      <c r="I279" s="315">
        <f t="shared" si="77"/>
        <v>512000</v>
      </c>
      <c r="J279" s="315">
        <f>J277+J278</f>
        <v>15000</v>
      </c>
      <c r="K279" s="315">
        <f>K277+K278</f>
        <v>497000</v>
      </c>
      <c r="L279" s="315">
        <f t="shared" si="78"/>
        <v>156000</v>
      </c>
      <c r="M279" s="315">
        <f>M277+M278</f>
        <v>15000</v>
      </c>
      <c r="N279" s="315">
        <f>N277+N278</f>
        <v>141000</v>
      </c>
    </row>
    <row r="280" spans="1:14" s="298" customFormat="1" ht="15" hidden="1" customHeight="1">
      <c r="A280" s="1132"/>
      <c r="B280" s="1133"/>
      <c r="C280" s="1134"/>
      <c r="D280" s="1135"/>
      <c r="E280" s="347" t="s">
        <v>700</v>
      </c>
      <c r="F280" s="1124" t="s">
        <v>699</v>
      </c>
      <c r="G280" s="317" t="s">
        <v>13</v>
      </c>
      <c r="H280" s="316">
        <f t="shared" si="76"/>
        <v>1358000</v>
      </c>
      <c r="I280" s="315">
        <f t="shared" si="77"/>
        <v>1193000</v>
      </c>
      <c r="J280" s="315">
        <v>48000</v>
      </c>
      <c r="K280" s="315">
        <f>1070000+75000</f>
        <v>1145000</v>
      </c>
      <c r="L280" s="315">
        <f t="shared" si="78"/>
        <v>165000</v>
      </c>
      <c r="M280" s="315">
        <v>15000</v>
      </c>
      <c r="N280" s="315">
        <v>150000</v>
      </c>
    </row>
    <row r="281" spans="1:14" s="298" customFormat="1" ht="15" hidden="1" customHeight="1">
      <c r="A281" s="1132"/>
      <c r="B281" s="1172"/>
      <c r="C281" s="1134"/>
      <c r="D281" s="1172"/>
      <c r="E281" s="346"/>
      <c r="F281" s="1126"/>
      <c r="G281" s="317" t="s">
        <v>14</v>
      </c>
      <c r="H281" s="316">
        <f t="shared" si="76"/>
        <v>0</v>
      </c>
      <c r="I281" s="315">
        <f t="shared" si="77"/>
        <v>0</v>
      </c>
      <c r="J281" s="315">
        <v>0</v>
      </c>
      <c r="K281" s="315">
        <v>0</v>
      </c>
      <c r="L281" s="315">
        <f t="shared" si="78"/>
        <v>0</v>
      </c>
      <c r="M281" s="315">
        <v>0</v>
      </c>
      <c r="N281" s="315">
        <v>0</v>
      </c>
    </row>
    <row r="282" spans="1:14" s="298" customFormat="1" ht="15" hidden="1" customHeight="1">
      <c r="A282" s="1181"/>
      <c r="B282" s="1173"/>
      <c r="C282" s="1180"/>
      <c r="D282" s="1173"/>
      <c r="E282" s="346"/>
      <c r="F282" s="1128"/>
      <c r="G282" s="317" t="s">
        <v>15</v>
      </c>
      <c r="H282" s="316">
        <f t="shared" si="76"/>
        <v>1358000</v>
      </c>
      <c r="I282" s="315">
        <f t="shared" si="77"/>
        <v>1193000</v>
      </c>
      <c r="J282" s="315">
        <f>J280+J281</f>
        <v>48000</v>
      </c>
      <c r="K282" s="315">
        <f>K280+K281</f>
        <v>1145000</v>
      </c>
      <c r="L282" s="315">
        <f t="shared" si="78"/>
        <v>165000</v>
      </c>
      <c r="M282" s="315">
        <f>M280+M281</f>
        <v>15000</v>
      </c>
      <c r="N282" s="315">
        <f>N280+N281</f>
        <v>150000</v>
      </c>
    </row>
    <row r="283" spans="1:14" s="298" customFormat="1" ht="15" customHeight="1">
      <c r="A283" s="1168" t="s">
        <v>34</v>
      </c>
      <c r="B283" s="1169"/>
      <c r="C283" s="1170" t="s">
        <v>221</v>
      </c>
      <c r="D283" s="1171"/>
      <c r="E283" s="347" t="s">
        <v>693</v>
      </c>
      <c r="F283" s="1124" t="s">
        <v>697</v>
      </c>
      <c r="G283" s="317" t="s">
        <v>13</v>
      </c>
      <c r="H283" s="316">
        <f t="shared" si="76"/>
        <v>9314310</v>
      </c>
      <c r="I283" s="315">
        <f t="shared" si="77"/>
        <v>7577003</v>
      </c>
      <c r="J283" s="315">
        <v>7414531</v>
      </c>
      <c r="K283" s="315">
        <v>162472</v>
      </c>
      <c r="L283" s="315">
        <f t="shared" si="78"/>
        <v>1737307</v>
      </c>
      <c r="M283" s="315">
        <v>1686316</v>
      </c>
      <c r="N283" s="315">
        <v>50991</v>
      </c>
    </row>
    <row r="284" spans="1:14" s="298" customFormat="1" ht="15" customHeight="1">
      <c r="A284" s="1132"/>
      <c r="B284" s="1172"/>
      <c r="C284" s="1134"/>
      <c r="D284" s="1172"/>
      <c r="E284" s="346"/>
      <c r="F284" s="1126"/>
      <c r="G284" s="317" t="s">
        <v>14</v>
      </c>
      <c r="H284" s="316">
        <f t="shared" si="76"/>
        <v>13393329</v>
      </c>
      <c r="I284" s="315">
        <f t="shared" si="77"/>
        <v>13393329</v>
      </c>
      <c r="J284" s="315">
        <v>13393329</v>
      </c>
      <c r="K284" s="315">
        <v>0</v>
      </c>
      <c r="L284" s="315">
        <f t="shared" si="78"/>
        <v>0</v>
      </c>
      <c r="M284" s="315">
        <v>0</v>
      </c>
      <c r="N284" s="315">
        <v>0</v>
      </c>
    </row>
    <row r="285" spans="1:14" s="298" customFormat="1" ht="15" customHeight="1">
      <c r="A285" s="1132"/>
      <c r="B285" s="1172"/>
      <c r="C285" s="1180"/>
      <c r="D285" s="1173"/>
      <c r="E285" s="332"/>
      <c r="F285" s="1128"/>
      <c r="G285" s="317" t="s">
        <v>15</v>
      </c>
      <c r="H285" s="316">
        <f t="shared" si="76"/>
        <v>22707639</v>
      </c>
      <c r="I285" s="315">
        <f t="shared" si="77"/>
        <v>20970332</v>
      </c>
      <c r="J285" s="315">
        <f>J283+J284</f>
        <v>20807860</v>
      </c>
      <c r="K285" s="315">
        <f>K283+K284</f>
        <v>162472</v>
      </c>
      <c r="L285" s="315">
        <f t="shared" si="78"/>
        <v>1737307</v>
      </c>
      <c r="M285" s="315">
        <f>M283+M284</f>
        <v>1686316</v>
      </c>
      <c r="N285" s="315">
        <f>N283+N284</f>
        <v>50991</v>
      </c>
    </row>
    <row r="286" spans="1:14" s="298" customFormat="1" ht="15" hidden="1" customHeight="1">
      <c r="A286" s="1132"/>
      <c r="B286" s="1133"/>
      <c r="C286" s="1134" t="s">
        <v>698</v>
      </c>
      <c r="D286" s="1135"/>
      <c r="E286" s="346" t="s">
        <v>693</v>
      </c>
      <c r="F286" s="1126" t="s">
        <v>697</v>
      </c>
      <c r="G286" s="332" t="s">
        <v>13</v>
      </c>
      <c r="H286" s="329">
        <f t="shared" si="76"/>
        <v>464053</v>
      </c>
      <c r="I286" s="328">
        <f t="shared" si="77"/>
        <v>0</v>
      </c>
      <c r="J286" s="328">
        <v>0</v>
      </c>
      <c r="K286" s="328">
        <v>0</v>
      </c>
      <c r="L286" s="328">
        <f t="shared" si="78"/>
        <v>464053</v>
      </c>
      <c r="M286" s="328">
        <v>464053</v>
      </c>
      <c r="N286" s="328">
        <v>0</v>
      </c>
    </row>
    <row r="287" spans="1:14" s="298" customFormat="1" ht="15" hidden="1" customHeight="1">
      <c r="A287" s="1132"/>
      <c r="B287" s="1172"/>
      <c r="C287" s="1134"/>
      <c r="D287" s="1172"/>
      <c r="E287" s="346"/>
      <c r="F287" s="1126"/>
      <c r="G287" s="317" t="s">
        <v>14</v>
      </c>
      <c r="H287" s="316">
        <f t="shared" si="76"/>
        <v>0</v>
      </c>
      <c r="I287" s="315">
        <f t="shared" si="77"/>
        <v>0</v>
      </c>
      <c r="J287" s="315">
        <v>0</v>
      </c>
      <c r="K287" s="315">
        <v>0</v>
      </c>
      <c r="L287" s="315">
        <f t="shared" si="78"/>
        <v>0</v>
      </c>
      <c r="M287" s="315">
        <v>0</v>
      </c>
      <c r="N287" s="315">
        <v>0</v>
      </c>
    </row>
    <row r="288" spans="1:14" s="298" customFormat="1" ht="15" hidden="1" customHeight="1">
      <c r="A288" s="1132"/>
      <c r="B288" s="1172"/>
      <c r="C288" s="1180"/>
      <c r="D288" s="1173"/>
      <c r="E288" s="332"/>
      <c r="F288" s="1128"/>
      <c r="G288" s="317" t="s">
        <v>15</v>
      </c>
      <c r="H288" s="316">
        <f t="shared" si="76"/>
        <v>464053</v>
      </c>
      <c r="I288" s="315">
        <f t="shared" si="77"/>
        <v>0</v>
      </c>
      <c r="J288" s="315">
        <f>J286+J287</f>
        <v>0</v>
      </c>
      <c r="K288" s="315">
        <f>K286+K287</f>
        <v>0</v>
      </c>
      <c r="L288" s="315">
        <f t="shared" si="78"/>
        <v>464053</v>
      </c>
      <c r="M288" s="315">
        <f>M286+M287</f>
        <v>464053</v>
      </c>
      <c r="N288" s="315">
        <f>N286+N287</f>
        <v>0</v>
      </c>
    </row>
    <row r="289" spans="1:14" s="298" customFormat="1" ht="15" hidden="1" customHeight="1">
      <c r="A289" s="1132"/>
      <c r="B289" s="1133"/>
      <c r="C289" s="1170" t="s">
        <v>606</v>
      </c>
      <c r="D289" s="1171"/>
      <c r="E289" s="347" t="s">
        <v>696</v>
      </c>
      <c r="F289" s="1124" t="s">
        <v>695</v>
      </c>
      <c r="G289" s="317" t="s">
        <v>13</v>
      </c>
      <c r="H289" s="316">
        <f t="shared" si="76"/>
        <v>760000</v>
      </c>
      <c r="I289" s="315">
        <f t="shared" si="77"/>
        <v>328000</v>
      </c>
      <c r="J289" s="315">
        <v>0</v>
      </c>
      <c r="K289" s="315">
        <v>328000</v>
      </c>
      <c r="L289" s="315">
        <f t="shared" si="78"/>
        <v>432000</v>
      </c>
      <c r="M289" s="315">
        <v>0</v>
      </c>
      <c r="N289" s="315">
        <v>432000</v>
      </c>
    </row>
    <row r="290" spans="1:14" s="298" customFormat="1" ht="15" hidden="1" customHeight="1">
      <c r="A290" s="1132"/>
      <c r="B290" s="1172"/>
      <c r="C290" s="1134"/>
      <c r="D290" s="1172"/>
      <c r="E290" s="346"/>
      <c r="F290" s="1126"/>
      <c r="G290" s="317" t="s">
        <v>14</v>
      </c>
      <c r="H290" s="316">
        <f t="shared" si="76"/>
        <v>0</v>
      </c>
      <c r="I290" s="315">
        <f t="shared" si="77"/>
        <v>0</v>
      </c>
      <c r="J290" s="315">
        <v>0</v>
      </c>
      <c r="K290" s="315">
        <v>0</v>
      </c>
      <c r="L290" s="315">
        <f t="shared" si="78"/>
        <v>0</v>
      </c>
      <c r="M290" s="315">
        <v>0</v>
      </c>
      <c r="N290" s="315">
        <v>0</v>
      </c>
    </row>
    <row r="291" spans="1:14" s="298" customFormat="1" ht="15" hidden="1" customHeight="1">
      <c r="A291" s="1132"/>
      <c r="B291" s="1172"/>
      <c r="C291" s="1180"/>
      <c r="D291" s="1173"/>
      <c r="E291" s="332"/>
      <c r="F291" s="1128"/>
      <c r="G291" s="317" t="s">
        <v>15</v>
      </c>
      <c r="H291" s="316">
        <f t="shared" si="76"/>
        <v>760000</v>
      </c>
      <c r="I291" s="315">
        <f t="shared" si="77"/>
        <v>328000</v>
      </c>
      <c r="J291" s="315">
        <f>J289+J290</f>
        <v>0</v>
      </c>
      <c r="K291" s="315">
        <f>K289+K290</f>
        <v>328000</v>
      </c>
      <c r="L291" s="315">
        <f t="shared" si="78"/>
        <v>432000</v>
      </c>
      <c r="M291" s="315">
        <f>M289+M290</f>
        <v>0</v>
      </c>
      <c r="N291" s="315">
        <f>N289+N290</f>
        <v>432000</v>
      </c>
    </row>
    <row r="292" spans="1:14" s="314" customFormat="1" ht="15" customHeight="1">
      <c r="A292" s="1122"/>
      <c r="B292" s="1123"/>
      <c r="C292" s="1144" t="s">
        <v>694</v>
      </c>
      <c r="D292" s="1145"/>
      <c r="E292" s="351" t="s">
        <v>693</v>
      </c>
      <c r="F292" s="1124" t="s">
        <v>692</v>
      </c>
      <c r="G292" s="317" t="s">
        <v>13</v>
      </c>
      <c r="H292" s="316">
        <f t="shared" si="76"/>
        <v>60729309</v>
      </c>
      <c r="I292" s="315">
        <f t="shared" si="77"/>
        <v>47553580</v>
      </c>
      <c r="J292" s="315">
        <v>42952073</v>
      </c>
      <c r="K292" s="315">
        <v>4601507</v>
      </c>
      <c r="L292" s="315">
        <f t="shared" si="78"/>
        <v>13175729</v>
      </c>
      <c r="M292" s="315">
        <v>12020202</v>
      </c>
      <c r="N292" s="315">
        <v>1155527</v>
      </c>
    </row>
    <row r="293" spans="1:14" s="314" customFormat="1" ht="15" customHeight="1">
      <c r="A293" s="1122"/>
      <c r="B293" s="1172"/>
      <c r="C293" s="1130"/>
      <c r="D293" s="1172"/>
      <c r="E293" s="350"/>
      <c r="F293" s="1126"/>
      <c r="G293" s="317" t="s">
        <v>14</v>
      </c>
      <c r="H293" s="316">
        <f t="shared" si="76"/>
        <v>1174955</v>
      </c>
      <c r="I293" s="315">
        <f t="shared" si="77"/>
        <v>1174956</v>
      </c>
      <c r="J293" s="315">
        <v>-397045</v>
      </c>
      <c r="K293" s="315">
        <v>1572001</v>
      </c>
      <c r="L293" s="315">
        <f t="shared" si="78"/>
        <v>-1</v>
      </c>
      <c r="M293" s="315">
        <v>-53849</v>
      </c>
      <c r="N293" s="315">
        <v>53848</v>
      </c>
    </row>
    <row r="294" spans="1:14" s="314" customFormat="1" ht="15" customHeight="1">
      <c r="A294" s="1150"/>
      <c r="B294" s="1173"/>
      <c r="C294" s="1152"/>
      <c r="D294" s="1173"/>
      <c r="E294" s="352"/>
      <c r="F294" s="1128"/>
      <c r="G294" s="317" t="s">
        <v>15</v>
      </c>
      <c r="H294" s="316">
        <f t="shared" si="76"/>
        <v>61904264</v>
      </c>
      <c r="I294" s="315">
        <f t="shared" si="77"/>
        <v>48728536</v>
      </c>
      <c r="J294" s="315">
        <f>J292+J293</f>
        <v>42555028</v>
      </c>
      <c r="K294" s="315">
        <f>K292+K293</f>
        <v>6173508</v>
      </c>
      <c r="L294" s="315">
        <f t="shared" si="78"/>
        <v>13175728</v>
      </c>
      <c r="M294" s="315">
        <f>M292+M293</f>
        <v>11966353</v>
      </c>
      <c r="N294" s="315">
        <f>N292+N293</f>
        <v>1209375</v>
      </c>
    </row>
    <row r="295" spans="1:14" s="298" customFormat="1" ht="14.85" customHeight="1">
      <c r="A295" s="1168"/>
      <c r="B295" s="1169"/>
      <c r="C295" s="1170"/>
      <c r="D295" s="1171"/>
      <c r="E295" s="347"/>
      <c r="F295" s="1210" t="s">
        <v>691</v>
      </c>
      <c r="G295" s="327" t="s">
        <v>13</v>
      </c>
      <c r="H295" s="320">
        <f t="shared" si="76"/>
        <v>0</v>
      </c>
      <c r="I295" s="319">
        <f t="shared" si="77"/>
        <v>0</v>
      </c>
      <c r="J295" s="319">
        <v>0</v>
      </c>
      <c r="K295" s="319">
        <v>0</v>
      </c>
      <c r="L295" s="319">
        <f t="shared" si="78"/>
        <v>0</v>
      </c>
      <c r="M295" s="319">
        <v>0</v>
      </c>
      <c r="N295" s="319">
        <v>0</v>
      </c>
    </row>
    <row r="296" spans="1:14" s="298" customFormat="1" ht="14.85" customHeight="1">
      <c r="A296" s="1132"/>
      <c r="B296" s="1140"/>
      <c r="C296" s="1134"/>
      <c r="D296" s="1140"/>
      <c r="E296" s="346"/>
      <c r="F296" s="1211"/>
      <c r="G296" s="327" t="s">
        <v>14</v>
      </c>
      <c r="H296" s="320">
        <f t="shared" si="76"/>
        <v>33080095</v>
      </c>
      <c r="I296" s="319">
        <f t="shared" si="77"/>
        <v>25563661</v>
      </c>
      <c r="J296" s="319">
        <v>22910455</v>
      </c>
      <c r="K296" s="319">
        <v>2653206</v>
      </c>
      <c r="L296" s="319">
        <f t="shared" si="78"/>
        <v>7516434</v>
      </c>
      <c r="M296" s="319">
        <v>7516434</v>
      </c>
      <c r="N296" s="319">
        <v>0</v>
      </c>
    </row>
    <row r="297" spans="1:14" s="298" customFormat="1" ht="14.85" customHeight="1">
      <c r="A297" s="1132"/>
      <c r="B297" s="1133"/>
      <c r="C297" s="1134"/>
      <c r="D297" s="1135"/>
      <c r="E297" s="350"/>
      <c r="F297" s="1212"/>
      <c r="G297" s="321" t="s">
        <v>15</v>
      </c>
      <c r="H297" s="320">
        <f t="shared" si="76"/>
        <v>33080095</v>
      </c>
      <c r="I297" s="319">
        <f t="shared" si="77"/>
        <v>25563661</v>
      </c>
      <c r="J297" s="319">
        <f>J295+J296</f>
        <v>22910455</v>
      </c>
      <c r="K297" s="319">
        <f>K295+K296</f>
        <v>2653206</v>
      </c>
      <c r="L297" s="319">
        <f t="shared" si="78"/>
        <v>7516434</v>
      </c>
      <c r="M297" s="319">
        <f>M295+M296</f>
        <v>7516434</v>
      </c>
      <c r="N297" s="319">
        <f>N295+N296</f>
        <v>0</v>
      </c>
    </row>
    <row r="298" spans="1:14" s="298" customFormat="1" ht="15" hidden="1" customHeight="1">
      <c r="A298" s="1132"/>
      <c r="B298" s="1133"/>
      <c r="C298" s="1134"/>
      <c r="D298" s="1135"/>
      <c r="E298" s="347" t="s">
        <v>690</v>
      </c>
      <c r="F298" s="1124" t="s">
        <v>689</v>
      </c>
      <c r="G298" s="317" t="s">
        <v>13</v>
      </c>
      <c r="H298" s="316">
        <f t="shared" si="76"/>
        <v>315000</v>
      </c>
      <c r="I298" s="315">
        <f t="shared" si="77"/>
        <v>233000</v>
      </c>
      <c r="J298" s="315">
        <v>0</v>
      </c>
      <c r="K298" s="315">
        <f>176000+57000</f>
        <v>233000</v>
      </c>
      <c r="L298" s="315">
        <f t="shared" si="78"/>
        <v>82000</v>
      </c>
      <c r="M298" s="315">
        <v>0</v>
      </c>
      <c r="N298" s="315">
        <v>82000</v>
      </c>
    </row>
    <row r="299" spans="1:14" s="298" customFormat="1" ht="15" hidden="1" customHeight="1">
      <c r="A299" s="1132"/>
      <c r="B299" s="1172"/>
      <c r="C299" s="1134"/>
      <c r="D299" s="1172"/>
      <c r="E299" s="346"/>
      <c r="F299" s="1126"/>
      <c r="G299" s="317" t="s">
        <v>14</v>
      </c>
      <c r="H299" s="316">
        <f t="shared" si="76"/>
        <v>0</v>
      </c>
      <c r="I299" s="315">
        <f t="shared" si="77"/>
        <v>0</v>
      </c>
      <c r="J299" s="315">
        <v>0</v>
      </c>
      <c r="K299" s="315">
        <v>0</v>
      </c>
      <c r="L299" s="315">
        <f t="shared" si="78"/>
        <v>0</v>
      </c>
      <c r="M299" s="315">
        <v>0</v>
      </c>
      <c r="N299" s="315">
        <v>0</v>
      </c>
    </row>
    <row r="300" spans="1:14" s="298" customFormat="1" ht="15" hidden="1" customHeight="1">
      <c r="A300" s="1132"/>
      <c r="B300" s="1172"/>
      <c r="C300" s="1134"/>
      <c r="D300" s="1172"/>
      <c r="E300" s="332"/>
      <c r="F300" s="1128"/>
      <c r="G300" s="317" t="s">
        <v>15</v>
      </c>
      <c r="H300" s="316">
        <f t="shared" si="76"/>
        <v>315000</v>
      </c>
      <c r="I300" s="315">
        <f t="shared" si="77"/>
        <v>233000</v>
      </c>
      <c r="J300" s="315">
        <f>J298+J299</f>
        <v>0</v>
      </c>
      <c r="K300" s="315">
        <f>K298+K299</f>
        <v>233000</v>
      </c>
      <c r="L300" s="315">
        <f t="shared" si="78"/>
        <v>82000</v>
      </c>
      <c r="M300" s="315">
        <f>M298+M299</f>
        <v>0</v>
      </c>
      <c r="N300" s="315">
        <f>N298+N299</f>
        <v>82000</v>
      </c>
    </row>
    <row r="301" spans="1:14" s="298" customFormat="1" ht="15" hidden="1" customHeight="1">
      <c r="A301" s="1132"/>
      <c r="B301" s="1133"/>
      <c r="C301" s="1134"/>
      <c r="D301" s="1135"/>
      <c r="E301" s="346" t="s">
        <v>687</v>
      </c>
      <c r="F301" s="1124" t="s">
        <v>688</v>
      </c>
      <c r="G301" s="317" t="s">
        <v>13</v>
      </c>
      <c r="H301" s="316">
        <f t="shared" si="76"/>
        <v>500000</v>
      </c>
      <c r="I301" s="315">
        <f t="shared" si="77"/>
        <v>0</v>
      </c>
      <c r="J301" s="315">
        <v>0</v>
      </c>
      <c r="K301" s="315">
        <v>0</v>
      </c>
      <c r="L301" s="315">
        <f t="shared" si="78"/>
        <v>500000</v>
      </c>
      <c r="M301" s="315">
        <v>0</v>
      </c>
      <c r="N301" s="315">
        <v>500000</v>
      </c>
    </row>
    <row r="302" spans="1:14" s="298" customFormat="1" ht="15" hidden="1" customHeight="1">
      <c r="A302" s="1132"/>
      <c r="B302" s="1172"/>
      <c r="C302" s="1134"/>
      <c r="D302" s="1172"/>
      <c r="E302" s="346"/>
      <c r="F302" s="1126"/>
      <c r="G302" s="317" t="s">
        <v>14</v>
      </c>
      <c r="H302" s="316">
        <f t="shared" si="76"/>
        <v>0</v>
      </c>
      <c r="I302" s="315">
        <f t="shared" si="77"/>
        <v>0</v>
      </c>
      <c r="J302" s="315">
        <v>0</v>
      </c>
      <c r="K302" s="315">
        <v>0</v>
      </c>
      <c r="L302" s="315">
        <f t="shared" si="78"/>
        <v>0</v>
      </c>
      <c r="M302" s="315">
        <v>0</v>
      </c>
      <c r="N302" s="315">
        <v>0</v>
      </c>
    </row>
    <row r="303" spans="1:14" s="298" customFormat="1" ht="15" hidden="1" customHeight="1">
      <c r="A303" s="1132"/>
      <c r="B303" s="1172"/>
      <c r="C303" s="1134"/>
      <c r="D303" s="1172"/>
      <c r="E303" s="346"/>
      <c r="F303" s="1128"/>
      <c r="G303" s="317" t="s">
        <v>15</v>
      </c>
      <c r="H303" s="316">
        <f t="shared" si="76"/>
        <v>500000</v>
      </c>
      <c r="I303" s="315">
        <f t="shared" si="77"/>
        <v>0</v>
      </c>
      <c r="J303" s="315">
        <f>J301+J302</f>
        <v>0</v>
      </c>
      <c r="K303" s="315">
        <f>K301+K302</f>
        <v>0</v>
      </c>
      <c r="L303" s="315">
        <f t="shared" si="78"/>
        <v>500000</v>
      </c>
      <c r="M303" s="315">
        <f>M301+M302</f>
        <v>0</v>
      </c>
      <c r="N303" s="315">
        <f>N301+N302</f>
        <v>500000</v>
      </c>
    </row>
    <row r="304" spans="1:14" s="314" customFormat="1" ht="15" customHeight="1">
      <c r="A304" s="1122"/>
      <c r="B304" s="1123"/>
      <c r="C304" s="1130"/>
      <c r="D304" s="1131"/>
      <c r="E304" s="351" t="s">
        <v>687</v>
      </c>
      <c r="F304" s="1124" t="s">
        <v>686</v>
      </c>
      <c r="G304" s="317" t="s">
        <v>13</v>
      </c>
      <c r="H304" s="316">
        <f t="shared" si="76"/>
        <v>1505002</v>
      </c>
      <c r="I304" s="315">
        <f t="shared" si="77"/>
        <v>1021782</v>
      </c>
      <c r="J304" s="315">
        <v>0</v>
      </c>
      <c r="K304" s="315">
        <v>1021782</v>
      </c>
      <c r="L304" s="315">
        <f t="shared" si="78"/>
        <v>483220</v>
      </c>
      <c r="M304" s="315">
        <v>0</v>
      </c>
      <c r="N304" s="315">
        <v>483220</v>
      </c>
    </row>
    <row r="305" spans="1:14" s="314" customFormat="1" ht="15" customHeight="1">
      <c r="A305" s="1122"/>
      <c r="B305" s="1172"/>
      <c r="C305" s="1130"/>
      <c r="D305" s="1172"/>
      <c r="E305" s="350"/>
      <c r="F305" s="1126"/>
      <c r="G305" s="317" t="s">
        <v>14</v>
      </c>
      <c r="H305" s="316">
        <f t="shared" si="76"/>
        <v>3402445</v>
      </c>
      <c r="I305" s="315">
        <f t="shared" si="77"/>
        <v>1732384</v>
      </c>
      <c r="J305" s="315">
        <v>1215000</v>
      </c>
      <c r="K305" s="315">
        <v>517384</v>
      </c>
      <c r="L305" s="315">
        <f t="shared" si="78"/>
        <v>1670061</v>
      </c>
      <c r="M305" s="315">
        <v>332500</v>
      </c>
      <c r="N305" s="315">
        <v>1337561</v>
      </c>
    </row>
    <row r="306" spans="1:14" s="314" customFormat="1" ht="15" customHeight="1">
      <c r="A306" s="1150"/>
      <c r="B306" s="1173"/>
      <c r="C306" s="1152"/>
      <c r="D306" s="1173"/>
      <c r="E306" s="352"/>
      <c r="F306" s="1128"/>
      <c r="G306" s="317" t="s">
        <v>15</v>
      </c>
      <c r="H306" s="316">
        <f t="shared" si="76"/>
        <v>4907447</v>
      </c>
      <c r="I306" s="315">
        <f t="shared" si="77"/>
        <v>2754166</v>
      </c>
      <c r="J306" s="315">
        <f>J304+J305</f>
        <v>1215000</v>
      </c>
      <c r="K306" s="315">
        <f>K304+K305</f>
        <v>1539166</v>
      </c>
      <c r="L306" s="315">
        <f t="shared" si="78"/>
        <v>2153281</v>
      </c>
      <c r="M306" s="315">
        <f>M304+M305</f>
        <v>332500</v>
      </c>
      <c r="N306" s="315">
        <f>N304+N305</f>
        <v>1820781</v>
      </c>
    </row>
    <row r="307" spans="1:14" s="298" customFormat="1" ht="15" hidden="1" customHeight="1">
      <c r="A307" s="1168" t="s">
        <v>258</v>
      </c>
      <c r="B307" s="1169"/>
      <c r="C307" s="1170" t="s">
        <v>685</v>
      </c>
      <c r="D307" s="1171"/>
      <c r="E307" s="347" t="s">
        <v>684</v>
      </c>
      <c r="F307" s="1124" t="s">
        <v>683</v>
      </c>
      <c r="G307" s="317" t="s">
        <v>13</v>
      </c>
      <c r="H307" s="316">
        <f t="shared" si="76"/>
        <v>1500000</v>
      </c>
      <c r="I307" s="315">
        <f t="shared" si="77"/>
        <v>0</v>
      </c>
      <c r="J307" s="315">
        <v>0</v>
      </c>
      <c r="K307" s="315">
        <v>0</v>
      </c>
      <c r="L307" s="315">
        <f t="shared" si="78"/>
        <v>1500000</v>
      </c>
      <c r="M307" s="315">
        <v>0</v>
      </c>
      <c r="N307" s="315">
        <v>1500000</v>
      </c>
    </row>
    <row r="308" spans="1:14" s="298" customFormat="1" ht="15" hidden="1" customHeight="1">
      <c r="A308" s="1132"/>
      <c r="B308" s="1172"/>
      <c r="C308" s="1134"/>
      <c r="D308" s="1172"/>
      <c r="E308" s="346"/>
      <c r="F308" s="1126"/>
      <c r="G308" s="317" t="s">
        <v>14</v>
      </c>
      <c r="H308" s="316">
        <f t="shared" si="76"/>
        <v>0</v>
      </c>
      <c r="I308" s="315">
        <f t="shared" si="77"/>
        <v>0</v>
      </c>
      <c r="J308" s="315">
        <v>0</v>
      </c>
      <c r="K308" s="315">
        <v>0</v>
      </c>
      <c r="L308" s="315">
        <f t="shared" si="78"/>
        <v>0</v>
      </c>
      <c r="M308" s="315">
        <v>0</v>
      </c>
      <c r="N308" s="315">
        <v>0</v>
      </c>
    </row>
    <row r="309" spans="1:14" s="298" customFormat="1" ht="15" hidden="1" customHeight="1">
      <c r="A309" s="1132"/>
      <c r="B309" s="1172"/>
      <c r="C309" s="1180"/>
      <c r="D309" s="1173"/>
      <c r="E309" s="346"/>
      <c r="F309" s="1128"/>
      <c r="G309" s="317" t="s">
        <v>15</v>
      </c>
      <c r="H309" s="316">
        <f t="shared" si="76"/>
        <v>1500000</v>
      </c>
      <c r="I309" s="315">
        <f t="shared" si="77"/>
        <v>0</v>
      </c>
      <c r="J309" s="315">
        <f>J307+J308</f>
        <v>0</v>
      </c>
      <c r="K309" s="315">
        <f>K307+K308</f>
        <v>0</v>
      </c>
      <c r="L309" s="315">
        <f t="shared" si="78"/>
        <v>1500000</v>
      </c>
      <c r="M309" s="315">
        <f>M307+M308</f>
        <v>0</v>
      </c>
      <c r="N309" s="315">
        <f>N307+N308</f>
        <v>1500000</v>
      </c>
    </row>
    <row r="310" spans="1:14" s="298" customFormat="1" ht="15" hidden="1" customHeight="1">
      <c r="A310" s="1132"/>
      <c r="B310" s="1133"/>
      <c r="C310" s="1170" t="s">
        <v>682</v>
      </c>
      <c r="D310" s="1171"/>
      <c r="E310" s="347" t="s">
        <v>681</v>
      </c>
      <c r="F310" s="1124" t="s">
        <v>680</v>
      </c>
      <c r="G310" s="317" t="s">
        <v>13</v>
      </c>
      <c r="H310" s="316">
        <f t="shared" ref="H310:H341" si="79">I310+L310</f>
        <v>55000</v>
      </c>
      <c r="I310" s="315">
        <f t="shared" ref="I310:I341" si="80">J310+K310</f>
        <v>55000</v>
      </c>
      <c r="J310" s="315">
        <v>0</v>
      </c>
      <c r="K310" s="315">
        <v>55000</v>
      </c>
      <c r="L310" s="315">
        <f t="shared" ref="L310:L341" si="81">M310+N310</f>
        <v>0</v>
      </c>
      <c r="M310" s="315">
        <v>0</v>
      </c>
      <c r="N310" s="315">
        <v>0</v>
      </c>
    </row>
    <row r="311" spans="1:14" s="298" customFormat="1" ht="15" hidden="1" customHeight="1">
      <c r="A311" s="1132"/>
      <c r="B311" s="1172"/>
      <c r="C311" s="1134"/>
      <c r="D311" s="1172"/>
      <c r="E311" s="346"/>
      <c r="F311" s="1126"/>
      <c r="G311" s="317" t="s">
        <v>14</v>
      </c>
      <c r="H311" s="316">
        <f t="shared" si="79"/>
        <v>0</v>
      </c>
      <c r="I311" s="315">
        <f t="shared" si="80"/>
        <v>0</v>
      </c>
      <c r="J311" s="315">
        <v>0</v>
      </c>
      <c r="K311" s="315">
        <v>0</v>
      </c>
      <c r="L311" s="315">
        <f t="shared" si="81"/>
        <v>0</v>
      </c>
      <c r="M311" s="315">
        <v>0</v>
      </c>
      <c r="N311" s="315">
        <v>0</v>
      </c>
    </row>
    <row r="312" spans="1:14" s="298" customFormat="1" ht="15" hidden="1" customHeight="1">
      <c r="A312" s="1132"/>
      <c r="B312" s="1172"/>
      <c r="C312" s="1180"/>
      <c r="D312" s="1173"/>
      <c r="E312" s="346"/>
      <c r="F312" s="1128"/>
      <c r="G312" s="317" t="s">
        <v>15</v>
      </c>
      <c r="H312" s="316">
        <f t="shared" si="79"/>
        <v>55000</v>
      </c>
      <c r="I312" s="315">
        <f t="shared" si="80"/>
        <v>55000</v>
      </c>
      <c r="J312" s="315">
        <f>J310+J311</f>
        <v>0</v>
      </c>
      <c r="K312" s="315">
        <f>K310+K311</f>
        <v>55000</v>
      </c>
      <c r="L312" s="315">
        <f t="shared" si="81"/>
        <v>0</v>
      </c>
      <c r="M312" s="315">
        <f>M310+M311</f>
        <v>0</v>
      </c>
      <c r="N312" s="315">
        <f>N310+N311</f>
        <v>0</v>
      </c>
    </row>
    <row r="313" spans="1:14" s="298" customFormat="1" ht="15.6" customHeight="1">
      <c r="A313" s="1132" t="s">
        <v>258</v>
      </c>
      <c r="B313" s="1133"/>
      <c r="C313" s="1170" t="s">
        <v>637</v>
      </c>
      <c r="D313" s="1171"/>
      <c r="E313" s="347" t="s">
        <v>679</v>
      </c>
      <c r="F313" s="1124" t="s">
        <v>678</v>
      </c>
      <c r="G313" s="317" t="s">
        <v>13</v>
      </c>
      <c r="H313" s="316">
        <f t="shared" si="79"/>
        <v>590609</v>
      </c>
      <c r="I313" s="315">
        <f t="shared" si="80"/>
        <v>590609</v>
      </c>
      <c r="J313" s="315">
        <v>583899</v>
      </c>
      <c r="K313" s="315">
        <v>6710</v>
      </c>
      <c r="L313" s="315">
        <f t="shared" si="81"/>
        <v>0</v>
      </c>
      <c r="M313" s="315">
        <v>0</v>
      </c>
      <c r="N313" s="315">
        <v>0</v>
      </c>
    </row>
    <row r="314" spans="1:14" s="298" customFormat="1" ht="15.6" customHeight="1">
      <c r="A314" s="1132"/>
      <c r="B314" s="1172"/>
      <c r="C314" s="1134"/>
      <c r="D314" s="1172"/>
      <c r="E314" s="346"/>
      <c r="F314" s="1126"/>
      <c r="G314" s="317" t="s">
        <v>14</v>
      </c>
      <c r="H314" s="316">
        <f t="shared" si="79"/>
        <v>108242</v>
      </c>
      <c r="I314" s="315">
        <f t="shared" si="80"/>
        <v>1903</v>
      </c>
      <c r="J314" s="315">
        <v>0</v>
      </c>
      <c r="K314" s="315">
        <v>1903</v>
      </c>
      <c r="L314" s="315">
        <f t="shared" si="81"/>
        <v>106339</v>
      </c>
      <c r="M314" s="315">
        <v>103361</v>
      </c>
      <c r="N314" s="315">
        <v>2978</v>
      </c>
    </row>
    <row r="315" spans="1:14" s="298" customFormat="1" ht="15.6" customHeight="1">
      <c r="A315" s="1132"/>
      <c r="B315" s="1172"/>
      <c r="C315" s="1134"/>
      <c r="D315" s="1172"/>
      <c r="E315" s="332"/>
      <c r="F315" s="1128"/>
      <c r="G315" s="317" t="s">
        <v>15</v>
      </c>
      <c r="H315" s="316">
        <f t="shared" si="79"/>
        <v>698851</v>
      </c>
      <c r="I315" s="315">
        <f t="shared" si="80"/>
        <v>592512</v>
      </c>
      <c r="J315" s="315">
        <f>J313+J314</f>
        <v>583899</v>
      </c>
      <c r="K315" s="315">
        <f>K313+K314</f>
        <v>8613</v>
      </c>
      <c r="L315" s="315">
        <f t="shared" si="81"/>
        <v>106339</v>
      </c>
      <c r="M315" s="315">
        <f>M313+M314</f>
        <v>103361</v>
      </c>
      <c r="N315" s="315">
        <f>N313+N314</f>
        <v>2978</v>
      </c>
    </row>
    <row r="316" spans="1:14" s="298" customFormat="1" ht="15.6" customHeight="1">
      <c r="A316" s="1132"/>
      <c r="B316" s="1133"/>
      <c r="C316" s="1134"/>
      <c r="D316" s="1135"/>
      <c r="E316" s="347" t="s">
        <v>677</v>
      </c>
      <c r="F316" s="1124" t="s">
        <v>676</v>
      </c>
      <c r="G316" s="317" t="s">
        <v>13</v>
      </c>
      <c r="H316" s="316">
        <f t="shared" si="79"/>
        <v>988599</v>
      </c>
      <c r="I316" s="315">
        <f t="shared" si="80"/>
        <v>988599</v>
      </c>
      <c r="J316" s="315">
        <v>0</v>
      </c>
      <c r="K316" s="315">
        <v>988599</v>
      </c>
      <c r="L316" s="315">
        <f t="shared" si="81"/>
        <v>0</v>
      </c>
      <c r="M316" s="315">
        <v>0</v>
      </c>
      <c r="N316" s="315">
        <v>0</v>
      </c>
    </row>
    <row r="317" spans="1:14" s="298" customFormat="1" ht="15.6" customHeight="1">
      <c r="A317" s="1132"/>
      <c r="B317" s="1172"/>
      <c r="C317" s="1134"/>
      <c r="D317" s="1172"/>
      <c r="E317" s="346"/>
      <c r="F317" s="1126"/>
      <c r="G317" s="317" t="s">
        <v>14</v>
      </c>
      <c r="H317" s="316">
        <f t="shared" si="79"/>
        <v>2289089</v>
      </c>
      <c r="I317" s="315">
        <f t="shared" si="80"/>
        <v>2289089</v>
      </c>
      <c r="J317" s="315">
        <v>0</v>
      </c>
      <c r="K317" s="315">
        <v>2289089</v>
      </c>
      <c r="L317" s="315">
        <f t="shared" si="81"/>
        <v>0</v>
      </c>
      <c r="M317" s="315">
        <v>0</v>
      </c>
      <c r="N317" s="315">
        <v>0</v>
      </c>
    </row>
    <row r="318" spans="1:14" s="298" customFormat="1" ht="15.6" customHeight="1">
      <c r="A318" s="1132"/>
      <c r="B318" s="1172"/>
      <c r="C318" s="1134"/>
      <c r="D318" s="1172"/>
      <c r="E318" s="346"/>
      <c r="F318" s="1128"/>
      <c r="G318" s="317" t="s">
        <v>15</v>
      </c>
      <c r="H318" s="316">
        <f t="shared" si="79"/>
        <v>3277688</v>
      </c>
      <c r="I318" s="315">
        <f t="shared" si="80"/>
        <v>3277688</v>
      </c>
      <c r="J318" s="315">
        <f>J316+J317</f>
        <v>0</v>
      </c>
      <c r="K318" s="315">
        <f>K316+K317</f>
        <v>3277688</v>
      </c>
      <c r="L318" s="315">
        <f t="shared" si="81"/>
        <v>0</v>
      </c>
      <c r="M318" s="315">
        <f>M316+M317</f>
        <v>0</v>
      </c>
      <c r="N318" s="315">
        <f>N316+N317</f>
        <v>0</v>
      </c>
    </row>
    <row r="319" spans="1:14" s="298" customFormat="1" ht="15" hidden="1" customHeight="1">
      <c r="A319" s="1132"/>
      <c r="B319" s="1133"/>
      <c r="C319" s="1134"/>
      <c r="D319" s="1135"/>
      <c r="E319" s="346"/>
      <c r="F319" s="1124" t="s">
        <v>675</v>
      </c>
      <c r="G319" s="317" t="s">
        <v>13</v>
      </c>
      <c r="H319" s="316">
        <f t="shared" si="79"/>
        <v>38563</v>
      </c>
      <c r="I319" s="315">
        <f t="shared" si="80"/>
        <v>0</v>
      </c>
      <c r="J319" s="315">
        <v>0</v>
      </c>
      <c r="K319" s="315">
        <v>0</v>
      </c>
      <c r="L319" s="315">
        <f t="shared" si="81"/>
        <v>38563</v>
      </c>
      <c r="M319" s="315">
        <v>0</v>
      </c>
      <c r="N319" s="315">
        <v>38563</v>
      </c>
    </row>
    <row r="320" spans="1:14" s="298" customFormat="1" ht="15" hidden="1" customHeight="1">
      <c r="A320" s="1132"/>
      <c r="B320" s="1172"/>
      <c r="C320" s="1134"/>
      <c r="D320" s="1172"/>
      <c r="E320" s="346"/>
      <c r="F320" s="1126"/>
      <c r="G320" s="317" t="s">
        <v>14</v>
      </c>
      <c r="H320" s="316">
        <f t="shared" si="79"/>
        <v>0</v>
      </c>
      <c r="I320" s="315">
        <f t="shared" si="80"/>
        <v>0</v>
      </c>
      <c r="J320" s="315">
        <v>0</v>
      </c>
      <c r="K320" s="315">
        <v>0</v>
      </c>
      <c r="L320" s="315">
        <f t="shared" si="81"/>
        <v>0</v>
      </c>
      <c r="M320" s="315">
        <v>0</v>
      </c>
      <c r="N320" s="315">
        <v>0</v>
      </c>
    </row>
    <row r="321" spans="1:14" s="298" customFormat="1" ht="15" hidden="1" customHeight="1">
      <c r="A321" s="1132"/>
      <c r="B321" s="1172"/>
      <c r="C321" s="1134"/>
      <c r="D321" s="1172"/>
      <c r="E321" s="346"/>
      <c r="F321" s="1128"/>
      <c r="G321" s="317" t="s">
        <v>15</v>
      </c>
      <c r="H321" s="316">
        <f t="shared" si="79"/>
        <v>38563</v>
      </c>
      <c r="I321" s="315">
        <f t="shared" si="80"/>
        <v>0</v>
      </c>
      <c r="J321" s="315">
        <f>J319+J320</f>
        <v>0</v>
      </c>
      <c r="K321" s="315">
        <f>K319+K320</f>
        <v>0</v>
      </c>
      <c r="L321" s="315">
        <f t="shared" si="81"/>
        <v>38563</v>
      </c>
      <c r="M321" s="315">
        <f>M319+M320</f>
        <v>0</v>
      </c>
      <c r="N321" s="315">
        <f>N319+N320</f>
        <v>38563</v>
      </c>
    </row>
    <row r="322" spans="1:14" s="298" customFormat="1" ht="15" hidden="1" customHeight="1">
      <c r="A322" s="1132"/>
      <c r="B322" s="1133"/>
      <c r="C322" s="1134"/>
      <c r="D322" s="1135"/>
      <c r="E322" s="347" t="s">
        <v>673</v>
      </c>
      <c r="F322" s="1124" t="s">
        <v>674</v>
      </c>
      <c r="G322" s="317" t="s">
        <v>13</v>
      </c>
      <c r="H322" s="316">
        <f t="shared" si="79"/>
        <v>1417157</v>
      </c>
      <c r="I322" s="315">
        <f t="shared" si="80"/>
        <v>0</v>
      </c>
      <c r="J322" s="315">
        <v>0</v>
      </c>
      <c r="K322" s="315">
        <v>0</v>
      </c>
      <c r="L322" s="315">
        <f t="shared" si="81"/>
        <v>1417157</v>
      </c>
      <c r="M322" s="315">
        <v>0</v>
      </c>
      <c r="N322" s="315">
        <v>1417157</v>
      </c>
    </row>
    <row r="323" spans="1:14" s="298" customFormat="1" ht="15" hidden="1" customHeight="1">
      <c r="A323" s="1132"/>
      <c r="B323" s="1172"/>
      <c r="C323" s="1134"/>
      <c r="D323" s="1172"/>
      <c r="E323" s="346"/>
      <c r="F323" s="1126"/>
      <c r="G323" s="317" t="s">
        <v>14</v>
      </c>
      <c r="H323" s="316">
        <f t="shared" si="79"/>
        <v>0</v>
      </c>
      <c r="I323" s="315">
        <f t="shared" si="80"/>
        <v>0</v>
      </c>
      <c r="J323" s="315">
        <v>0</v>
      </c>
      <c r="K323" s="315">
        <v>0</v>
      </c>
      <c r="L323" s="315">
        <f t="shared" si="81"/>
        <v>0</v>
      </c>
      <c r="M323" s="315">
        <v>0</v>
      </c>
      <c r="N323" s="315">
        <v>0</v>
      </c>
    </row>
    <row r="324" spans="1:14" s="298" customFormat="1" ht="15" hidden="1" customHeight="1">
      <c r="A324" s="1132"/>
      <c r="B324" s="1172"/>
      <c r="C324" s="1134"/>
      <c r="D324" s="1172"/>
      <c r="E324" s="346"/>
      <c r="F324" s="1128"/>
      <c r="G324" s="317" t="s">
        <v>15</v>
      </c>
      <c r="H324" s="316">
        <f t="shared" si="79"/>
        <v>1417157</v>
      </c>
      <c r="I324" s="315">
        <f t="shared" si="80"/>
        <v>0</v>
      </c>
      <c r="J324" s="315">
        <f>J322+J323</f>
        <v>0</v>
      </c>
      <c r="K324" s="315">
        <f>K322+K323</f>
        <v>0</v>
      </c>
      <c r="L324" s="315">
        <f t="shared" si="81"/>
        <v>1417157</v>
      </c>
      <c r="M324" s="315">
        <f>M322+M323</f>
        <v>0</v>
      </c>
      <c r="N324" s="315">
        <f>N322+N323</f>
        <v>1417157</v>
      </c>
    </row>
    <row r="325" spans="1:14" s="298" customFormat="1" ht="15.6" customHeight="1">
      <c r="A325" s="1132"/>
      <c r="B325" s="1133"/>
      <c r="C325" s="1134"/>
      <c r="D325" s="1135"/>
      <c r="E325" s="347" t="s">
        <v>673</v>
      </c>
      <c r="F325" s="1124" t="s">
        <v>672</v>
      </c>
      <c r="G325" s="317" t="s">
        <v>13</v>
      </c>
      <c r="H325" s="316">
        <f t="shared" si="79"/>
        <v>735168</v>
      </c>
      <c r="I325" s="315">
        <f t="shared" si="80"/>
        <v>735168</v>
      </c>
      <c r="J325" s="315">
        <v>0</v>
      </c>
      <c r="K325" s="315">
        <v>735168</v>
      </c>
      <c r="L325" s="315">
        <f t="shared" si="81"/>
        <v>0</v>
      </c>
      <c r="M325" s="315">
        <v>0</v>
      </c>
      <c r="N325" s="315">
        <v>0</v>
      </c>
    </row>
    <row r="326" spans="1:14" s="298" customFormat="1" ht="15.6" customHeight="1">
      <c r="A326" s="1132"/>
      <c r="B326" s="1172"/>
      <c r="C326" s="1134"/>
      <c r="D326" s="1172"/>
      <c r="E326" s="346"/>
      <c r="F326" s="1126"/>
      <c r="G326" s="317" t="s">
        <v>14</v>
      </c>
      <c r="H326" s="316">
        <f t="shared" si="79"/>
        <v>297541</v>
      </c>
      <c r="I326" s="315">
        <f t="shared" si="80"/>
        <v>297541</v>
      </c>
      <c r="J326" s="315">
        <v>0</v>
      </c>
      <c r="K326" s="315">
        <v>297541</v>
      </c>
      <c r="L326" s="315">
        <f t="shared" si="81"/>
        <v>0</v>
      </c>
      <c r="M326" s="315">
        <v>0</v>
      </c>
      <c r="N326" s="315">
        <v>0</v>
      </c>
    </row>
    <row r="327" spans="1:14" s="298" customFormat="1" ht="15.6" customHeight="1">
      <c r="A327" s="1132"/>
      <c r="B327" s="1172"/>
      <c r="C327" s="1134"/>
      <c r="D327" s="1172"/>
      <c r="E327" s="346"/>
      <c r="F327" s="1128"/>
      <c r="G327" s="317" t="s">
        <v>15</v>
      </c>
      <c r="H327" s="316">
        <f t="shared" si="79"/>
        <v>1032709</v>
      </c>
      <c r="I327" s="315">
        <f t="shared" si="80"/>
        <v>1032709</v>
      </c>
      <c r="J327" s="315">
        <f>J325+J326</f>
        <v>0</v>
      </c>
      <c r="K327" s="315">
        <f>K325+K326</f>
        <v>1032709</v>
      </c>
      <c r="L327" s="315">
        <f t="shared" si="81"/>
        <v>0</v>
      </c>
      <c r="M327" s="315">
        <f>M325+M326</f>
        <v>0</v>
      </c>
      <c r="N327" s="315">
        <f>N325+N326</f>
        <v>0</v>
      </c>
    </row>
    <row r="328" spans="1:14" s="314" customFormat="1" ht="15" hidden="1" customHeight="1">
      <c r="A328" s="1122"/>
      <c r="B328" s="1123"/>
      <c r="C328" s="1130"/>
      <c r="D328" s="1131"/>
      <c r="E328" s="350"/>
      <c r="F328" s="1124" t="s">
        <v>671</v>
      </c>
      <c r="G328" s="317" t="s">
        <v>13</v>
      </c>
      <c r="H328" s="316">
        <f t="shared" si="79"/>
        <v>200000</v>
      </c>
      <c r="I328" s="315">
        <f t="shared" si="80"/>
        <v>100000</v>
      </c>
      <c r="J328" s="315">
        <v>0</v>
      </c>
      <c r="K328" s="315">
        <v>100000</v>
      </c>
      <c r="L328" s="315">
        <f t="shared" si="81"/>
        <v>100000</v>
      </c>
      <c r="M328" s="315">
        <v>0</v>
      </c>
      <c r="N328" s="315">
        <v>100000</v>
      </c>
    </row>
    <row r="329" spans="1:14" s="314" customFormat="1" ht="15" hidden="1" customHeight="1">
      <c r="A329" s="1122"/>
      <c r="B329" s="1172"/>
      <c r="C329" s="1130"/>
      <c r="D329" s="1172"/>
      <c r="E329" s="350"/>
      <c r="F329" s="1126"/>
      <c r="G329" s="317" t="s">
        <v>14</v>
      </c>
      <c r="H329" s="316">
        <f t="shared" si="79"/>
        <v>0</v>
      </c>
      <c r="I329" s="315">
        <f t="shared" si="80"/>
        <v>0</v>
      </c>
      <c r="J329" s="315">
        <v>0</v>
      </c>
      <c r="K329" s="315">
        <v>0</v>
      </c>
      <c r="L329" s="315">
        <f t="shared" si="81"/>
        <v>0</v>
      </c>
      <c r="M329" s="315">
        <v>0</v>
      </c>
      <c r="N329" s="315">
        <v>0</v>
      </c>
    </row>
    <row r="330" spans="1:14" s="314" customFormat="1" ht="15" hidden="1" customHeight="1">
      <c r="A330" s="1122"/>
      <c r="B330" s="1172"/>
      <c r="C330" s="1130"/>
      <c r="D330" s="1172"/>
      <c r="E330" s="350"/>
      <c r="F330" s="1128"/>
      <c r="G330" s="317" t="s">
        <v>15</v>
      </c>
      <c r="H330" s="316">
        <f t="shared" si="79"/>
        <v>200000</v>
      </c>
      <c r="I330" s="315">
        <f t="shared" si="80"/>
        <v>100000</v>
      </c>
      <c r="J330" s="315">
        <f>J328+J329</f>
        <v>0</v>
      </c>
      <c r="K330" s="315">
        <f>K328+K329</f>
        <v>100000</v>
      </c>
      <c r="L330" s="315">
        <f t="shared" si="81"/>
        <v>100000</v>
      </c>
      <c r="M330" s="315">
        <f>M328+M329</f>
        <v>0</v>
      </c>
      <c r="N330" s="315">
        <f>N328+N329</f>
        <v>100000</v>
      </c>
    </row>
    <row r="331" spans="1:14" s="298" customFormat="1" ht="15" hidden="1" customHeight="1">
      <c r="A331" s="1132"/>
      <c r="B331" s="1133"/>
      <c r="C331" s="1134"/>
      <c r="D331" s="1135"/>
      <c r="E331" s="347" t="s">
        <v>661</v>
      </c>
      <c r="F331" s="1124" t="s">
        <v>670</v>
      </c>
      <c r="G331" s="317" t="s">
        <v>13</v>
      </c>
      <c r="H331" s="316">
        <f t="shared" si="79"/>
        <v>3279523</v>
      </c>
      <c r="I331" s="315">
        <f t="shared" si="80"/>
        <v>1529437</v>
      </c>
      <c r="J331" s="315">
        <f>19000+16000</f>
        <v>35000</v>
      </c>
      <c r="K331" s="315">
        <v>1494437</v>
      </c>
      <c r="L331" s="315">
        <f t="shared" si="81"/>
        <v>1750086</v>
      </c>
      <c r="M331" s="315">
        <v>44105</v>
      </c>
      <c r="N331" s="315">
        <v>1705981</v>
      </c>
    </row>
    <row r="332" spans="1:14" s="298" customFormat="1" ht="15" hidden="1" customHeight="1">
      <c r="A332" s="1132"/>
      <c r="B332" s="1172"/>
      <c r="C332" s="1134"/>
      <c r="D332" s="1172"/>
      <c r="E332" s="346"/>
      <c r="F332" s="1126"/>
      <c r="G332" s="317" t="s">
        <v>14</v>
      </c>
      <c r="H332" s="316">
        <f t="shared" si="79"/>
        <v>0</v>
      </c>
      <c r="I332" s="315">
        <f t="shared" si="80"/>
        <v>0</v>
      </c>
      <c r="J332" s="315">
        <v>0</v>
      </c>
      <c r="K332" s="315">
        <v>0</v>
      </c>
      <c r="L332" s="315">
        <f t="shared" si="81"/>
        <v>0</v>
      </c>
      <c r="M332" s="315">
        <v>0</v>
      </c>
      <c r="N332" s="315">
        <v>0</v>
      </c>
    </row>
    <row r="333" spans="1:14" s="298" customFormat="1" ht="15" hidden="1" customHeight="1">
      <c r="A333" s="1132"/>
      <c r="B333" s="1172"/>
      <c r="C333" s="1134"/>
      <c r="D333" s="1172"/>
      <c r="E333" s="346"/>
      <c r="F333" s="1128"/>
      <c r="G333" s="317" t="s">
        <v>15</v>
      </c>
      <c r="H333" s="316">
        <f t="shared" si="79"/>
        <v>3279523</v>
      </c>
      <c r="I333" s="315">
        <f t="shared" si="80"/>
        <v>1529437</v>
      </c>
      <c r="J333" s="315">
        <f>J331+J332</f>
        <v>35000</v>
      </c>
      <c r="K333" s="315">
        <f>K331+K332</f>
        <v>1494437</v>
      </c>
      <c r="L333" s="315">
        <f t="shared" si="81"/>
        <v>1750086</v>
      </c>
      <c r="M333" s="315">
        <f>M331+M332</f>
        <v>44105</v>
      </c>
      <c r="N333" s="315">
        <f>N331+N332</f>
        <v>1705981</v>
      </c>
    </row>
    <row r="334" spans="1:14" s="298" customFormat="1" ht="15" customHeight="1">
      <c r="A334" s="1132"/>
      <c r="B334" s="1133"/>
      <c r="C334" s="1134"/>
      <c r="D334" s="1135"/>
      <c r="E334" s="347" t="s">
        <v>661</v>
      </c>
      <c r="F334" s="1124" t="s">
        <v>669</v>
      </c>
      <c r="G334" s="317" t="s">
        <v>13</v>
      </c>
      <c r="H334" s="316">
        <f t="shared" si="79"/>
        <v>2565871</v>
      </c>
      <c r="I334" s="315">
        <f t="shared" si="80"/>
        <v>730219</v>
      </c>
      <c r="J334" s="315">
        <v>0</v>
      </c>
      <c r="K334" s="315">
        <v>730219</v>
      </c>
      <c r="L334" s="315">
        <f t="shared" si="81"/>
        <v>1835652</v>
      </c>
      <c r="M334" s="315">
        <v>0</v>
      </c>
      <c r="N334" s="315">
        <v>1835652</v>
      </c>
    </row>
    <row r="335" spans="1:14" s="298" customFormat="1" ht="15" customHeight="1">
      <c r="A335" s="1132"/>
      <c r="B335" s="1172"/>
      <c r="C335" s="1134"/>
      <c r="D335" s="1172"/>
      <c r="E335" s="346"/>
      <c r="F335" s="1126"/>
      <c r="G335" s="317" t="s">
        <v>14</v>
      </c>
      <c r="H335" s="316">
        <f t="shared" si="79"/>
        <v>980424</v>
      </c>
      <c r="I335" s="315">
        <f t="shared" si="80"/>
        <v>179451</v>
      </c>
      <c r="J335" s="315">
        <v>0</v>
      </c>
      <c r="K335" s="315">
        <v>179451</v>
      </c>
      <c r="L335" s="315">
        <f t="shared" si="81"/>
        <v>800973</v>
      </c>
      <c r="M335" s="315">
        <v>0</v>
      </c>
      <c r="N335" s="315">
        <v>800973</v>
      </c>
    </row>
    <row r="336" spans="1:14" s="298" customFormat="1" ht="15" customHeight="1">
      <c r="A336" s="1181"/>
      <c r="B336" s="1173"/>
      <c r="C336" s="1180"/>
      <c r="D336" s="1173"/>
      <c r="E336" s="346"/>
      <c r="F336" s="1128"/>
      <c r="G336" s="317" t="s">
        <v>15</v>
      </c>
      <c r="H336" s="316">
        <f t="shared" si="79"/>
        <v>3546295</v>
      </c>
      <c r="I336" s="315">
        <f t="shared" si="80"/>
        <v>909670</v>
      </c>
      <c r="J336" s="315">
        <f>J334+J335</f>
        <v>0</v>
      </c>
      <c r="K336" s="315">
        <f>K334+K335</f>
        <v>909670</v>
      </c>
      <c r="L336" s="315">
        <f t="shared" si="81"/>
        <v>2636625</v>
      </c>
      <c r="M336" s="315">
        <f>M334+M335</f>
        <v>0</v>
      </c>
      <c r="N336" s="315">
        <f>N334+N335</f>
        <v>2636625</v>
      </c>
    </row>
    <row r="337" spans="1:14" s="314" customFormat="1" ht="15" hidden="1" customHeight="1">
      <c r="A337" s="1142" t="s">
        <v>417</v>
      </c>
      <c r="B337" s="1143"/>
      <c r="C337" s="1144" t="s">
        <v>592</v>
      </c>
      <c r="D337" s="1145"/>
      <c r="E337" s="351" t="s">
        <v>668</v>
      </c>
      <c r="F337" s="1124" t="s">
        <v>667</v>
      </c>
      <c r="G337" s="317" t="s">
        <v>13</v>
      </c>
      <c r="H337" s="316">
        <f t="shared" si="79"/>
        <v>56650</v>
      </c>
      <c r="I337" s="315">
        <f t="shared" si="80"/>
        <v>0</v>
      </c>
      <c r="J337" s="315">
        <v>0</v>
      </c>
      <c r="K337" s="315">
        <v>0</v>
      </c>
      <c r="L337" s="315">
        <f t="shared" si="81"/>
        <v>56650</v>
      </c>
      <c r="M337" s="315">
        <v>0</v>
      </c>
      <c r="N337" s="315">
        <v>56650</v>
      </c>
    </row>
    <row r="338" spans="1:14" s="314" customFormat="1" ht="15" hidden="1" customHeight="1">
      <c r="A338" s="1122"/>
      <c r="B338" s="1172"/>
      <c r="C338" s="1130"/>
      <c r="D338" s="1172"/>
      <c r="E338" s="350"/>
      <c r="F338" s="1126"/>
      <c r="G338" s="317" t="s">
        <v>14</v>
      </c>
      <c r="H338" s="316">
        <f t="shared" si="79"/>
        <v>0</v>
      </c>
      <c r="I338" s="315">
        <f t="shared" si="80"/>
        <v>0</v>
      </c>
      <c r="J338" s="315">
        <v>0</v>
      </c>
      <c r="K338" s="315">
        <v>0</v>
      </c>
      <c r="L338" s="315">
        <f t="shared" si="81"/>
        <v>0</v>
      </c>
      <c r="M338" s="315">
        <v>0</v>
      </c>
      <c r="N338" s="315">
        <v>0</v>
      </c>
    </row>
    <row r="339" spans="1:14" s="314" customFormat="1" ht="15" hidden="1" customHeight="1">
      <c r="A339" s="1122"/>
      <c r="B339" s="1172"/>
      <c r="C339" s="1130"/>
      <c r="D339" s="1172"/>
      <c r="E339" s="352"/>
      <c r="F339" s="1128"/>
      <c r="G339" s="317" t="s">
        <v>15</v>
      </c>
      <c r="H339" s="316">
        <f t="shared" si="79"/>
        <v>56650</v>
      </c>
      <c r="I339" s="315">
        <f t="shared" si="80"/>
        <v>0</v>
      </c>
      <c r="J339" s="315">
        <f>J337+J338</f>
        <v>0</v>
      </c>
      <c r="K339" s="315">
        <f>K337+K338</f>
        <v>0</v>
      </c>
      <c r="L339" s="315">
        <f t="shared" si="81"/>
        <v>56650</v>
      </c>
      <c r="M339" s="315">
        <f>M337+M338</f>
        <v>0</v>
      </c>
      <c r="N339" s="315">
        <f>N337+N338</f>
        <v>56650</v>
      </c>
    </row>
    <row r="340" spans="1:14" s="314" customFormat="1" ht="15" hidden="1" customHeight="1">
      <c r="A340" s="1122"/>
      <c r="B340" s="1123"/>
      <c r="C340" s="1130"/>
      <c r="D340" s="1131"/>
      <c r="E340" s="351" t="s">
        <v>666</v>
      </c>
      <c r="F340" s="1124" t="s">
        <v>665</v>
      </c>
      <c r="G340" s="317" t="s">
        <v>13</v>
      </c>
      <c r="H340" s="316">
        <f t="shared" si="79"/>
        <v>525200</v>
      </c>
      <c r="I340" s="315">
        <f t="shared" si="80"/>
        <v>0</v>
      </c>
      <c r="J340" s="315">
        <v>0</v>
      </c>
      <c r="K340" s="315">
        <v>0</v>
      </c>
      <c r="L340" s="315">
        <f t="shared" si="81"/>
        <v>525200</v>
      </c>
      <c r="M340" s="315">
        <v>0</v>
      </c>
      <c r="N340" s="315">
        <v>525200</v>
      </c>
    </row>
    <row r="341" spans="1:14" s="314" customFormat="1" ht="15" hidden="1" customHeight="1">
      <c r="A341" s="1122"/>
      <c r="B341" s="1172"/>
      <c r="C341" s="1130"/>
      <c r="D341" s="1172"/>
      <c r="E341" s="350"/>
      <c r="F341" s="1126"/>
      <c r="G341" s="317" t="s">
        <v>14</v>
      </c>
      <c r="H341" s="316">
        <f t="shared" si="79"/>
        <v>0</v>
      </c>
      <c r="I341" s="315">
        <f t="shared" si="80"/>
        <v>0</v>
      </c>
      <c r="J341" s="315">
        <v>0</v>
      </c>
      <c r="K341" s="315">
        <v>0</v>
      </c>
      <c r="L341" s="315">
        <f t="shared" si="81"/>
        <v>0</v>
      </c>
      <c r="M341" s="315">
        <v>0</v>
      </c>
      <c r="N341" s="315">
        <v>0</v>
      </c>
    </row>
    <row r="342" spans="1:14" s="314" customFormat="1" ht="15" hidden="1" customHeight="1">
      <c r="A342" s="1122"/>
      <c r="B342" s="1172"/>
      <c r="C342" s="1130"/>
      <c r="D342" s="1172"/>
      <c r="E342" s="350"/>
      <c r="F342" s="1128"/>
      <c r="G342" s="317" t="s">
        <v>15</v>
      </c>
      <c r="H342" s="316">
        <f t="shared" ref="H342:H373" si="82">I342+L342</f>
        <v>525200</v>
      </c>
      <c r="I342" s="315">
        <f t="shared" ref="I342:I373" si="83">J342+K342</f>
        <v>0</v>
      </c>
      <c r="J342" s="315">
        <f>J340+J341</f>
        <v>0</v>
      </c>
      <c r="K342" s="315">
        <f>K340+K341</f>
        <v>0</v>
      </c>
      <c r="L342" s="315">
        <f t="shared" ref="L342:L373" si="84">M342+N342</f>
        <v>525200</v>
      </c>
      <c r="M342" s="315">
        <f>M340+M341</f>
        <v>0</v>
      </c>
      <c r="N342" s="315">
        <f>N340+N341</f>
        <v>525200</v>
      </c>
    </row>
    <row r="343" spans="1:14" s="298" customFormat="1" ht="15" hidden="1" customHeight="1">
      <c r="A343" s="1132"/>
      <c r="B343" s="1133"/>
      <c r="C343" s="1134"/>
      <c r="D343" s="1135"/>
      <c r="E343" s="347" t="s">
        <v>664</v>
      </c>
      <c r="F343" s="1124" t="s">
        <v>663</v>
      </c>
      <c r="G343" s="317" t="s">
        <v>13</v>
      </c>
      <c r="H343" s="316">
        <f t="shared" si="82"/>
        <v>718150</v>
      </c>
      <c r="I343" s="315">
        <f t="shared" si="83"/>
        <v>4980</v>
      </c>
      <c r="J343" s="315">
        <v>0</v>
      </c>
      <c r="K343" s="315">
        <v>4980</v>
      </c>
      <c r="L343" s="315">
        <f t="shared" si="84"/>
        <v>713170</v>
      </c>
      <c r="M343" s="315">
        <v>0</v>
      </c>
      <c r="N343" s="315">
        <v>713170</v>
      </c>
    </row>
    <row r="344" spans="1:14" s="298" customFormat="1" ht="15" hidden="1" customHeight="1">
      <c r="A344" s="1132"/>
      <c r="B344" s="1172"/>
      <c r="C344" s="1134"/>
      <c r="D344" s="1172"/>
      <c r="E344" s="346"/>
      <c r="F344" s="1126"/>
      <c r="G344" s="317" t="s">
        <v>14</v>
      </c>
      <c r="H344" s="316">
        <f t="shared" si="82"/>
        <v>0</v>
      </c>
      <c r="I344" s="315">
        <f t="shared" si="83"/>
        <v>0</v>
      </c>
      <c r="J344" s="315">
        <v>0</v>
      </c>
      <c r="K344" s="315">
        <v>0</v>
      </c>
      <c r="L344" s="315">
        <f t="shared" si="84"/>
        <v>0</v>
      </c>
      <c r="M344" s="315">
        <v>0</v>
      </c>
      <c r="N344" s="315">
        <v>0</v>
      </c>
    </row>
    <row r="345" spans="1:14" s="298" customFormat="1" ht="15" hidden="1" customHeight="1">
      <c r="A345" s="1132"/>
      <c r="B345" s="1172"/>
      <c r="C345" s="1134"/>
      <c r="D345" s="1172"/>
      <c r="E345" s="346"/>
      <c r="F345" s="1128"/>
      <c r="G345" s="317" t="s">
        <v>15</v>
      </c>
      <c r="H345" s="316">
        <f t="shared" si="82"/>
        <v>718150</v>
      </c>
      <c r="I345" s="315">
        <f t="shared" si="83"/>
        <v>4980</v>
      </c>
      <c r="J345" s="315">
        <f>J343+J344</f>
        <v>0</v>
      </c>
      <c r="K345" s="315">
        <f>K343+K344</f>
        <v>4980</v>
      </c>
      <c r="L345" s="315">
        <f t="shared" si="84"/>
        <v>713170</v>
      </c>
      <c r="M345" s="315">
        <f>M343+M344</f>
        <v>0</v>
      </c>
      <c r="N345" s="315">
        <f>N343+N344</f>
        <v>713170</v>
      </c>
    </row>
    <row r="346" spans="1:14" s="314" customFormat="1" ht="15.6" customHeight="1">
      <c r="A346" s="1122" t="s">
        <v>417</v>
      </c>
      <c r="B346" s="1123"/>
      <c r="C346" s="1130" t="s">
        <v>592</v>
      </c>
      <c r="D346" s="1131"/>
      <c r="E346" s="351" t="s">
        <v>661</v>
      </c>
      <c r="F346" s="1124" t="s">
        <v>662</v>
      </c>
      <c r="G346" s="317" t="s">
        <v>13</v>
      </c>
      <c r="H346" s="316">
        <f t="shared" si="82"/>
        <v>3439000</v>
      </c>
      <c r="I346" s="315">
        <f t="shared" si="83"/>
        <v>3008000</v>
      </c>
      <c r="J346" s="315">
        <v>0</v>
      </c>
      <c r="K346" s="315">
        <v>3008000</v>
      </c>
      <c r="L346" s="315">
        <f t="shared" si="84"/>
        <v>431000</v>
      </c>
      <c r="M346" s="315">
        <v>0</v>
      </c>
      <c r="N346" s="315">
        <v>431000</v>
      </c>
    </row>
    <row r="347" spans="1:14" s="314" customFormat="1" ht="15.6" customHeight="1">
      <c r="A347" s="1122"/>
      <c r="B347" s="1172"/>
      <c r="C347" s="1130"/>
      <c r="D347" s="1172"/>
      <c r="E347" s="350"/>
      <c r="F347" s="1126"/>
      <c r="G347" s="317" t="s">
        <v>14</v>
      </c>
      <c r="H347" s="316">
        <f t="shared" si="82"/>
        <v>3990941</v>
      </c>
      <c r="I347" s="315">
        <f t="shared" si="83"/>
        <v>1277662</v>
      </c>
      <c r="J347" s="315">
        <v>0</v>
      </c>
      <c r="K347" s="315">
        <v>1277662</v>
      </c>
      <c r="L347" s="315">
        <f t="shared" si="84"/>
        <v>2713279</v>
      </c>
      <c r="M347" s="315">
        <v>0</v>
      </c>
      <c r="N347" s="315">
        <v>2713279</v>
      </c>
    </row>
    <row r="348" spans="1:14" s="314" customFormat="1" ht="15.6" customHeight="1">
      <c r="A348" s="1150"/>
      <c r="B348" s="1173"/>
      <c r="C348" s="1152"/>
      <c r="D348" s="1173"/>
      <c r="E348" s="350"/>
      <c r="F348" s="1128"/>
      <c r="G348" s="317" t="s">
        <v>15</v>
      </c>
      <c r="H348" s="316">
        <f t="shared" si="82"/>
        <v>7429941</v>
      </c>
      <c r="I348" s="315">
        <f t="shared" si="83"/>
        <v>4285662</v>
      </c>
      <c r="J348" s="315">
        <f>J346+J347</f>
        <v>0</v>
      </c>
      <c r="K348" s="315">
        <f>K346+K347</f>
        <v>4285662</v>
      </c>
      <c r="L348" s="315">
        <f t="shared" si="84"/>
        <v>3144279</v>
      </c>
      <c r="M348" s="315">
        <f>M346+M347</f>
        <v>0</v>
      </c>
      <c r="N348" s="315">
        <f>N346+N347</f>
        <v>3144279</v>
      </c>
    </row>
    <row r="349" spans="1:14" s="298" customFormat="1" ht="15" hidden="1" customHeight="1">
      <c r="A349" s="1168" t="s">
        <v>436</v>
      </c>
      <c r="B349" s="1169"/>
      <c r="C349" s="1170" t="s">
        <v>584</v>
      </c>
      <c r="D349" s="1171"/>
      <c r="E349" s="347" t="s">
        <v>661</v>
      </c>
      <c r="F349" s="1124" t="s">
        <v>660</v>
      </c>
      <c r="G349" s="317" t="s">
        <v>13</v>
      </c>
      <c r="H349" s="316">
        <f t="shared" si="82"/>
        <v>7686960</v>
      </c>
      <c r="I349" s="315">
        <f t="shared" si="83"/>
        <v>7453560</v>
      </c>
      <c r="J349" s="315">
        <v>0</v>
      </c>
      <c r="K349" s="315">
        <v>7453560</v>
      </c>
      <c r="L349" s="315">
        <f t="shared" si="84"/>
        <v>233400</v>
      </c>
      <c r="M349" s="315">
        <v>0</v>
      </c>
      <c r="N349" s="315">
        <v>233400</v>
      </c>
    </row>
    <row r="350" spans="1:14" s="298" customFormat="1" ht="15" hidden="1" customHeight="1">
      <c r="A350" s="1132"/>
      <c r="B350" s="1172"/>
      <c r="C350" s="1134"/>
      <c r="D350" s="1172"/>
      <c r="E350" s="346"/>
      <c r="F350" s="1126"/>
      <c r="G350" s="317" t="s">
        <v>14</v>
      </c>
      <c r="H350" s="316">
        <f t="shared" si="82"/>
        <v>0</v>
      </c>
      <c r="I350" s="315">
        <f t="shared" si="83"/>
        <v>0</v>
      </c>
      <c r="J350" s="315">
        <v>0</v>
      </c>
      <c r="K350" s="315">
        <v>0</v>
      </c>
      <c r="L350" s="315">
        <f t="shared" si="84"/>
        <v>0</v>
      </c>
      <c r="M350" s="315">
        <v>0</v>
      </c>
      <c r="N350" s="315">
        <v>0</v>
      </c>
    </row>
    <row r="351" spans="1:14" s="298" customFormat="1" ht="15" hidden="1" customHeight="1">
      <c r="A351" s="1181"/>
      <c r="B351" s="1173"/>
      <c r="C351" s="1180"/>
      <c r="D351" s="1173"/>
      <c r="E351" s="332"/>
      <c r="F351" s="1128"/>
      <c r="G351" s="317" t="s">
        <v>15</v>
      </c>
      <c r="H351" s="316">
        <f t="shared" si="82"/>
        <v>7686960</v>
      </c>
      <c r="I351" s="315">
        <f t="shared" si="83"/>
        <v>7453560</v>
      </c>
      <c r="J351" s="315">
        <f>J349+J350</f>
        <v>0</v>
      </c>
      <c r="K351" s="315">
        <f>K349+K350</f>
        <v>7453560</v>
      </c>
      <c r="L351" s="315">
        <f t="shared" si="84"/>
        <v>233400</v>
      </c>
      <c r="M351" s="315">
        <f>M349+M350</f>
        <v>0</v>
      </c>
      <c r="N351" s="315">
        <f>N349+N350</f>
        <v>233400</v>
      </c>
    </row>
    <row r="352" spans="1:14" s="298" customFormat="1" ht="15" hidden="1" customHeight="1">
      <c r="A352" s="1168" t="s">
        <v>418</v>
      </c>
      <c r="B352" s="1169"/>
      <c r="C352" s="1170" t="s">
        <v>659</v>
      </c>
      <c r="D352" s="1171"/>
      <c r="E352" s="347" t="s">
        <v>658</v>
      </c>
      <c r="F352" s="1124" t="s">
        <v>657</v>
      </c>
      <c r="G352" s="317" t="s">
        <v>13</v>
      </c>
      <c r="H352" s="316">
        <f t="shared" si="82"/>
        <v>60878</v>
      </c>
      <c r="I352" s="315">
        <f t="shared" si="83"/>
        <v>60878</v>
      </c>
      <c r="J352" s="315">
        <v>60878</v>
      </c>
      <c r="K352" s="315">
        <v>0</v>
      </c>
      <c r="L352" s="315">
        <f t="shared" si="84"/>
        <v>0</v>
      </c>
      <c r="M352" s="315">
        <v>0</v>
      </c>
      <c r="N352" s="315">
        <v>0</v>
      </c>
    </row>
    <row r="353" spans="1:14" s="298" customFormat="1" ht="15" hidden="1" customHeight="1">
      <c r="A353" s="1132"/>
      <c r="B353" s="1172"/>
      <c r="C353" s="1208"/>
      <c r="D353" s="1209"/>
      <c r="E353" s="346"/>
      <c r="F353" s="1126"/>
      <c r="G353" s="317" t="s">
        <v>14</v>
      </c>
      <c r="H353" s="316">
        <f t="shared" si="82"/>
        <v>0</v>
      </c>
      <c r="I353" s="315">
        <f t="shared" si="83"/>
        <v>0</v>
      </c>
      <c r="J353" s="315">
        <v>0</v>
      </c>
      <c r="K353" s="315">
        <v>0</v>
      </c>
      <c r="L353" s="315">
        <f t="shared" si="84"/>
        <v>0</v>
      </c>
      <c r="M353" s="315">
        <v>0</v>
      </c>
      <c r="N353" s="315">
        <v>0</v>
      </c>
    </row>
    <row r="354" spans="1:14" s="298" customFormat="1" ht="15" hidden="1" customHeight="1">
      <c r="A354" s="1132"/>
      <c r="B354" s="1172"/>
      <c r="C354" s="1180"/>
      <c r="D354" s="1173"/>
      <c r="E354" s="332"/>
      <c r="F354" s="1128"/>
      <c r="G354" s="317" t="s">
        <v>15</v>
      </c>
      <c r="H354" s="316">
        <f t="shared" si="82"/>
        <v>60878</v>
      </c>
      <c r="I354" s="315">
        <f t="shared" si="83"/>
        <v>60878</v>
      </c>
      <c r="J354" s="315">
        <f>J352+J353</f>
        <v>60878</v>
      </c>
      <c r="K354" s="315">
        <f>K352+K353</f>
        <v>0</v>
      </c>
      <c r="L354" s="315">
        <f t="shared" si="84"/>
        <v>0</v>
      </c>
      <c r="M354" s="315">
        <f>M352+M353</f>
        <v>0</v>
      </c>
      <c r="N354" s="315">
        <f>N352+N353</f>
        <v>0</v>
      </c>
    </row>
    <row r="355" spans="1:14" s="314" customFormat="1" ht="15" hidden="1" customHeight="1">
      <c r="A355" s="1122"/>
      <c r="B355" s="1123"/>
      <c r="C355" s="1144" t="s">
        <v>656</v>
      </c>
      <c r="D355" s="1145"/>
      <c r="E355" s="351" t="s">
        <v>655</v>
      </c>
      <c r="F355" s="1124" t="s">
        <v>654</v>
      </c>
      <c r="G355" s="317" t="s">
        <v>13</v>
      </c>
      <c r="H355" s="316">
        <f t="shared" si="82"/>
        <v>556985</v>
      </c>
      <c r="I355" s="315">
        <f t="shared" si="83"/>
        <v>556985</v>
      </c>
      <c r="J355" s="315">
        <v>545845</v>
      </c>
      <c r="K355" s="315">
        <v>11140</v>
      </c>
      <c r="L355" s="315">
        <f t="shared" si="84"/>
        <v>0</v>
      </c>
      <c r="M355" s="315">
        <v>0</v>
      </c>
      <c r="N355" s="315">
        <v>0</v>
      </c>
    </row>
    <row r="356" spans="1:14" s="314" customFormat="1" ht="15" hidden="1" customHeight="1">
      <c r="A356" s="1122"/>
      <c r="B356" s="1172"/>
      <c r="C356" s="1130"/>
      <c r="D356" s="1172"/>
      <c r="E356" s="350"/>
      <c r="F356" s="1126"/>
      <c r="G356" s="317" t="s">
        <v>14</v>
      </c>
      <c r="H356" s="316">
        <f t="shared" si="82"/>
        <v>0</v>
      </c>
      <c r="I356" s="315">
        <f t="shared" si="83"/>
        <v>0</v>
      </c>
      <c r="J356" s="315">
        <v>0</v>
      </c>
      <c r="K356" s="315">
        <v>0</v>
      </c>
      <c r="L356" s="315">
        <f t="shared" si="84"/>
        <v>0</v>
      </c>
      <c r="M356" s="315">
        <v>0</v>
      </c>
      <c r="N356" s="315">
        <v>0</v>
      </c>
    </row>
    <row r="357" spans="1:14" s="314" customFormat="1" ht="15" hidden="1" customHeight="1">
      <c r="A357" s="1122"/>
      <c r="B357" s="1172"/>
      <c r="C357" s="1152"/>
      <c r="D357" s="1173"/>
      <c r="E357" s="352"/>
      <c r="F357" s="1128"/>
      <c r="G357" s="317" t="s">
        <v>15</v>
      </c>
      <c r="H357" s="316">
        <f t="shared" si="82"/>
        <v>556985</v>
      </c>
      <c r="I357" s="315">
        <f t="shared" si="83"/>
        <v>556985</v>
      </c>
      <c r="J357" s="315">
        <f>J355+J356</f>
        <v>545845</v>
      </c>
      <c r="K357" s="315">
        <f>K355+K356</f>
        <v>11140</v>
      </c>
      <c r="L357" s="315">
        <f t="shared" si="84"/>
        <v>0</v>
      </c>
      <c r="M357" s="315">
        <f>M355+M356</f>
        <v>0</v>
      </c>
      <c r="N357" s="315">
        <f>N355+N356</f>
        <v>0</v>
      </c>
    </row>
    <row r="358" spans="1:14" s="314" customFormat="1" ht="15" hidden="1" customHeight="1">
      <c r="A358" s="1122"/>
      <c r="B358" s="1123"/>
      <c r="C358" s="1144" t="s">
        <v>653</v>
      </c>
      <c r="D358" s="1145"/>
      <c r="E358" s="351" t="s">
        <v>652</v>
      </c>
      <c r="F358" s="1124" t="s">
        <v>651</v>
      </c>
      <c r="G358" s="317" t="s">
        <v>13</v>
      </c>
      <c r="H358" s="316">
        <f t="shared" si="82"/>
        <v>2562347</v>
      </c>
      <c r="I358" s="315">
        <f t="shared" si="83"/>
        <v>2562347</v>
      </c>
      <c r="J358" s="315">
        <v>2562347</v>
      </c>
      <c r="K358" s="315">
        <v>0</v>
      </c>
      <c r="L358" s="315">
        <f t="shared" si="84"/>
        <v>0</v>
      </c>
      <c r="M358" s="315">
        <v>0</v>
      </c>
      <c r="N358" s="315">
        <v>0</v>
      </c>
    </row>
    <row r="359" spans="1:14" s="314" customFormat="1" ht="15" hidden="1" customHeight="1">
      <c r="A359" s="1122"/>
      <c r="B359" s="1172"/>
      <c r="C359" s="1130"/>
      <c r="D359" s="1172"/>
      <c r="E359" s="350"/>
      <c r="F359" s="1126"/>
      <c r="G359" s="317" t="s">
        <v>14</v>
      </c>
      <c r="H359" s="316">
        <f t="shared" si="82"/>
        <v>0</v>
      </c>
      <c r="I359" s="315">
        <f t="shared" si="83"/>
        <v>0</v>
      </c>
      <c r="J359" s="315">
        <v>0</v>
      </c>
      <c r="K359" s="315">
        <v>0</v>
      </c>
      <c r="L359" s="315">
        <f t="shared" si="84"/>
        <v>0</v>
      </c>
      <c r="M359" s="315">
        <v>0</v>
      </c>
      <c r="N359" s="315">
        <v>0</v>
      </c>
    </row>
    <row r="360" spans="1:14" s="314" customFormat="1" ht="15" hidden="1" customHeight="1">
      <c r="A360" s="1122"/>
      <c r="B360" s="1172"/>
      <c r="C360" s="1152"/>
      <c r="D360" s="1173"/>
      <c r="E360" s="352"/>
      <c r="F360" s="1128"/>
      <c r="G360" s="317" t="s">
        <v>15</v>
      </c>
      <c r="H360" s="316">
        <f t="shared" si="82"/>
        <v>2562347</v>
      </c>
      <c r="I360" s="315">
        <f t="shared" si="83"/>
        <v>2562347</v>
      </c>
      <c r="J360" s="315">
        <f>J358+J359</f>
        <v>2562347</v>
      </c>
      <c r="K360" s="315">
        <f>K358+K359</f>
        <v>0</v>
      </c>
      <c r="L360" s="315">
        <f t="shared" si="84"/>
        <v>0</v>
      </c>
      <c r="M360" s="315">
        <f>M358+M359</f>
        <v>0</v>
      </c>
      <c r="N360" s="315">
        <f>N358+N359</f>
        <v>0</v>
      </c>
    </row>
    <row r="361" spans="1:14" s="298" customFormat="1" ht="15.6" customHeight="1">
      <c r="A361" s="1168" t="s">
        <v>418</v>
      </c>
      <c r="B361" s="1169"/>
      <c r="C361" s="1170" t="s">
        <v>578</v>
      </c>
      <c r="D361" s="1171"/>
      <c r="E361" s="347" t="s">
        <v>650</v>
      </c>
      <c r="F361" s="1124" t="s">
        <v>649</v>
      </c>
      <c r="G361" s="317" t="s">
        <v>13</v>
      </c>
      <c r="H361" s="316">
        <f t="shared" si="82"/>
        <v>0</v>
      </c>
      <c r="I361" s="315">
        <f t="shared" si="83"/>
        <v>0</v>
      </c>
      <c r="J361" s="315">
        <v>0</v>
      </c>
      <c r="K361" s="315">
        <v>0</v>
      </c>
      <c r="L361" s="315">
        <f t="shared" si="84"/>
        <v>0</v>
      </c>
      <c r="M361" s="315">
        <v>0</v>
      </c>
      <c r="N361" s="315">
        <v>0</v>
      </c>
    </row>
    <row r="362" spans="1:14" s="298" customFormat="1" ht="15.6" customHeight="1">
      <c r="A362" s="1132"/>
      <c r="B362" s="1172"/>
      <c r="C362" s="1134"/>
      <c r="D362" s="1172"/>
      <c r="E362" s="346"/>
      <c r="F362" s="1126"/>
      <c r="G362" s="317" t="s">
        <v>14</v>
      </c>
      <c r="H362" s="316">
        <f t="shared" si="82"/>
        <v>31035</v>
      </c>
      <c r="I362" s="315">
        <f t="shared" si="83"/>
        <v>31035</v>
      </c>
      <c r="J362" s="315">
        <v>30631</v>
      </c>
      <c r="K362" s="315">
        <v>404</v>
      </c>
      <c r="L362" s="315">
        <f t="shared" si="84"/>
        <v>0</v>
      </c>
      <c r="M362" s="315">
        <v>0</v>
      </c>
      <c r="N362" s="315">
        <v>0</v>
      </c>
    </row>
    <row r="363" spans="1:14" s="298" customFormat="1" ht="15.6" customHeight="1">
      <c r="A363" s="1132"/>
      <c r="B363" s="1172"/>
      <c r="C363" s="1134"/>
      <c r="D363" s="1172"/>
      <c r="E363" s="332"/>
      <c r="F363" s="1128"/>
      <c r="G363" s="317" t="s">
        <v>15</v>
      </c>
      <c r="H363" s="316">
        <f t="shared" si="82"/>
        <v>31035</v>
      </c>
      <c r="I363" s="315">
        <f t="shared" si="83"/>
        <v>31035</v>
      </c>
      <c r="J363" s="315">
        <f>J361+J362</f>
        <v>30631</v>
      </c>
      <c r="K363" s="315">
        <f>K361+K362</f>
        <v>404</v>
      </c>
      <c r="L363" s="315">
        <f t="shared" si="84"/>
        <v>0</v>
      </c>
      <c r="M363" s="315">
        <f>M361+M362</f>
        <v>0</v>
      </c>
      <c r="N363" s="315">
        <f>N361+N362</f>
        <v>0</v>
      </c>
    </row>
    <row r="364" spans="1:14" s="298" customFormat="1" ht="15" hidden="1" customHeight="1">
      <c r="A364" s="1132"/>
      <c r="B364" s="1133"/>
      <c r="C364" s="1134"/>
      <c r="D364" s="1135"/>
      <c r="E364" s="347" t="s">
        <v>648</v>
      </c>
      <c r="F364" s="1124" t="s">
        <v>647</v>
      </c>
      <c r="G364" s="317" t="s">
        <v>13</v>
      </c>
      <c r="H364" s="316">
        <f t="shared" si="82"/>
        <v>4023353</v>
      </c>
      <c r="I364" s="315">
        <f t="shared" si="83"/>
        <v>3812680</v>
      </c>
      <c r="J364" s="315">
        <v>3799824</v>
      </c>
      <c r="K364" s="315">
        <v>12856</v>
      </c>
      <c r="L364" s="315">
        <f t="shared" si="84"/>
        <v>210673</v>
      </c>
      <c r="M364" s="315">
        <v>210673</v>
      </c>
      <c r="N364" s="315">
        <v>0</v>
      </c>
    </row>
    <row r="365" spans="1:14" s="298" customFormat="1" ht="15" hidden="1" customHeight="1">
      <c r="A365" s="1132"/>
      <c r="B365" s="1172"/>
      <c r="C365" s="1134"/>
      <c r="D365" s="1172"/>
      <c r="E365" s="346"/>
      <c r="F365" s="1126"/>
      <c r="G365" s="317" t="s">
        <v>14</v>
      </c>
      <c r="H365" s="316">
        <f t="shared" si="82"/>
        <v>0</v>
      </c>
      <c r="I365" s="315">
        <f t="shared" si="83"/>
        <v>0</v>
      </c>
      <c r="J365" s="315">
        <v>0</v>
      </c>
      <c r="K365" s="315">
        <v>0</v>
      </c>
      <c r="L365" s="315">
        <f t="shared" si="84"/>
        <v>0</v>
      </c>
      <c r="M365" s="315">
        <v>0</v>
      </c>
      <c r="N365" s="315">
        <v>0</v>
      </c>
    </row>
    <row r="366" spans="1:14" s="298" customFormat="1" ht="15" hidden="1" customHeight="1">
      <c r="A366" s="1132"/>
      <c r="B366" s="1172"/>
      <c r="C366" s="1134"/>
      <c r="D366" s="1172"/>
      <c r="E366" s="332"/>
      <c r="F366" s="1128"/>
      <c r="G366" s="317" t="s">
        <v>15</v>
      </c>
      <c r="H366" s="316">
        <f t="shared" si="82"/>
        <v>4023353</v>
      </c>
      <c r="I366" s="315">
        <f t="shared" si="83"/>
        <v>3812680</v>
      </c>
      <c r="J366" s="315">
        <f>J364+J365</f>
        <v>3799824</v>
      </c>
      <c r="K366" s="315">
        <f>K364+K365</f>
        <v>12856</v>
      </c>
      <c r="L366" s="315">
        <f t="shared" si="84"/>
        <v>210673</v>
      </c>
      <c r="M366" s="315">
        <f>M364+M365</f>
        <v>210673</v>
      </c>
      <c r="N366" s="315">
        <f>N364+N365</f>
        <v>0</v>
      </c>
    </row>
    <row r="367" spans="1:14" s="314" customFormat="1" ht="15.6" customHeight="1">
      <c r="A367" s="1122"/>
      <c r="B367" s="1123"/>
      <c r="C367" s="1130"/>
      <c r="D367" s="1131"/>
      <c r="E367" s="351" t="s">
        <v>646</v>
      </c>
      <c r="F367" s="1124" t="s">
        <v>645</v>
      </c>
      <c r="G367" s="317" t="s">
        <v>13</v>
      </c>
      <c r="H367" s="316">
        <f t="shared" si="82"/>
        <v>3918637</v>
      </c>
      <c r="I367" s="315">
        <f t="shared" si="83"/>
        <v>3820834</v>
      </c>
      <c r="J367" s="315">
        <f>3416500+391045</f>
        <v>3807545</v>
      </c>
      <c r="K367" s="315">
        <v>13289</v>
      </c>
      <c r="L367" s="315">
        <f t="shared" si="84"/>
        <v>97803</v>
      </c>
      <c r="M367" s="315">
        <v>97803</v>
      </c>
      <c r="N367" s="315">
        <v>0</v>
      </c>
    </row>
    <row r="368" spans="1:14" s="314" customFormat="1" ht="15.6" customHeight="1">
      <c r="A368" s="1122"/>
      <c r="B368" s="1172"/>
      <c r="C368" s="1130"/>
      <c r="D368" s="1172"/>
      <c r="E368" s="350"/>
      <c r="F368" s="1126"/>
      <c r="G368" s="317" t="s">
        <v>14</v>
      </c>
      <c r="H368" s="316">
        <f t="shared" si="82"/>
        <v>12</v>
      </c>
      <c r="I368" s="315">
        <f t="shared" si="83"/>
        <v>0</v>
      </c>
      <c r="J368" s="315">
        <v>0</v>
      </c>
      <c r="K368" s="315">
        <v>0</v>
      </c>
      <c r="L368" s="315">
        <f t="shared" si="84"/>
        <v>12</v>
      </c>
      <c r="M368" s="315">
        <v>0</v>
      </c>
      <c r="N368" s="315">
        <v>12</v>
      </c>
    </row>
    <row r="369" spans="1:14" s="314" customFormat="1" ht="15.6" customHeight="1">
      <c r="A369" s="1122"/>
      <c r="B369" s="1172"/>
      <c r="C369" s="1130"/>
      <c r="D369" s="1172"/>
      <c r="E369" s="352"/>
      <c r="F369" s="1128"/>
      <c r="G369" s="317" t="s">
        <v>15</v>
      </c>
      <c r="H369" s="316">
        <f t="shared" si="82"/>
        <v>3918649</v>
      </c>
      <c r="I369" s="315">
        <f t="shared" si="83"/>
        <v>3820834</v>
      </c>
      <c r="J369" s="315">
        <f>J367+J368</f>
        <v>3807545</v>
      </c>
      <c r="K369" s="315">
        <f>K367+K368</f>
        <v>13289</v>
      </c>
      <c r="L369" s="315">
        <f t="shared" si="84"/>
        <v>97815</v>
      </c>
      <c r="M369" s="315">
        <f>M367+M368</f>
        <v>97803</v>
      </c>
      <c r="N369" s="315">
        <f>N367+N368</f>
        <v>12</v>
      </c>
    </row>
    <row r="370" spans="1:14" s="298" customFormat="1" ht="15.6" customHeight="1">
      <c r="A370" s="1132"/>
      <c r="B370" s="1133"/>
      <c r="C370" s="1134"/>
      <c r="D370" s="1135"/>
      <c r="E370" s="347" t="s">
        <v>644</v>
      </c>
      <c r="F370" s="1124" t="s">
        <v>643</v>
      </c>
      <c r="G370" s="317" t="s">
        <v>13</v>
      </c>
      <c r="H370" s="316">
        <f t="shared" si="82"/>
        <v>519183</v>
      </c>
      <c r="I370" s="315">
        <f t="shared" si="83"/>
        <v>519183</v>
      </c>
      <c r="J370" s="315">
        <v>519183</v>
      </c>
      <c r="K370" s="315">
        <v>0</v>
      </c>
      <c r="L370" s="315">
        <f t="shared" si="84"/>
        <v>0</v>
      </c>
      <c r="M370" s="315">
        <v>0</v>
      </c>
      <c r="N370" s="315">
        <v>0</v>
      </c>
    </row>
    <row r="371" spans="1:14" s="298" customFormat="1" ht="15.6" customHeight="1">
      <c r="A371" s="1132"/>
      <c r="B371" s="1172"/>
      <c r="C371" s="1134"/>
      <c r="D371" s="1172"/>
      <c r="E371" s="346"/>
      <c r="F371" s="1126"/>
      <c r="G371" s="317" t="s">
        <v>14</v>
      </c>
      <c r="H371" s="316">
        <f t="shared" si="82"/>
        <v>738298</v>
      </c>
      <c r="I371" s="315">
        <f t="shared" si="83"/>
        <v>738298</v>
      </c>
      <c r="J371" s="315">
        <v>738298</v>
      </c>
      <c r="K371" s="315">
        <v>0</v>
      </c>
      <c r="L371" s="315">
        <f t="shared" si="84"/>
        <v>0</v>
      </c>
      <c r="M371" s="315">
        <v>0</v>
      </c>
      <c r="N371" s="315">
        <v>0</v>
      </c>
    </row>
    <row r="372" spans="1:14" s="298" customFormat="1" ht="15.6" customHeight="1">
      <c r="A372" s="1132"/>
      <c r="B372" s="1172"/>
      <c r="C372" s="1180"/>
      <c r="D372" s="1173"/>
      <c r="E372" s="332"/>
      <c r="F372" s="1128"/>
      <c r="G372" s="317" t="s">
        <v>15</v>
      </c>
      <c r="H372" s="316">
        <f t="shared" si="82"/>
        <v>1257481</v>
      </c>
      <c r="I372" s="315">
        <f t="shared" si="83"/>
        <v>1257481</v>
      </c>
      <c r="J372" s="315">
        <f>J370+J371</f>
        <v>1257481</v>
      </c>
      <c r="K372" s="315">
        <f>K370+K371</f>
        <v>0</v>
      </c>
      <c r="L372" s="315">
        <f t="shared" si="84"/>
        <v>0</v>
      </c>
      <c r="M372" s="315">
        <f>M370+M371</f>
        <v>0</v>
      </c>
      <c r="N372" s="315">
        <f>N370+N371</f>
        <v>0</v>
      </c>
    </row>
    <row r="373" spans="1:14" s="314" customFormat="1" ht="15" hidden="1" customHeight="1">
      <c r="A373" s="1142" t="s">
        <v>271</v>
      </c>
      <c r="B373" s="1143"/>
      <c r="C373" s="1144" t="s">
        <v>536</v>
      </c>
      <c r="D373" s="1145"/>
      <c r="E373" s="351" t="s">
        <v>640</v>
      </c>
      <c r="F373" s="1124" t="s">
        <v>642</v>
      </c>
      <c r="G373" s="317" t="s">
        <v>13</v>
      </c>
      <c r="H373" s="316">
        <f t="shared" si="82"/>
        <v>470648</v>
      </c>
      <c r="I373" s="315">
        <f t="shared" si="83"/>
        <v>0</v>
      </c>
      <c r="J373" s="315">
        <v>0</v>
      </c>
      <c r="K373" s="315">
        <v>0</v>
      </c>
      <c r="L373" s="315">
        <f t="shared" si="84"/>
        <v>470648</v>
      </c>
      <c r="M373" s="315">
        <v>0</v>
      </c>
      <c r="N373" s="315">
        <v>470648</v>
      </c>
    </row>
    <row r="374" spans="1:14" s="314" customFormat="1" ht="15" hidden="1" customHeight="1">
      <c r="A374" s="1122"/>
      <c r="B374" s="1172"/>
      <c r="C374" s="1130"/>
      <c r="D374" s="1172"/>
      <c r="E374" s="350"/>
      <c r="F374" s="1126"/>
      <c r="G374" s="317" t="s">
        <v>14</v>
      </c>
      <c r="H374" s="316">
        <f t="shared" ref="H374:H381" si="85">I374+L374</f>
        <v>0</v>
      </c>
      <c r="I374" s="315">
        <f t="shared" ref="I374:I381" si="86">J374+K374</f>
        <v>0</v>
      </c>
      <c r="J374" s="315">
        <v>0</v>
      </c>
      <c r="K374" s="315">
        <v>0</v>
      </c>
      <c r="L374" s="315">
        <f t="shared" ref="L374:L381" si="87">M374+N374</f>
        <v>0</v>
      </c>
      <c r="M374" s="315">
        <v>0</v>
      </c>
      <c r="N374" s="315">
        <v>0</v>
      </c>
    </row>
    <row r="375" spans="1:14" s="314" customFormat="1" ht="15" hidden="1" customHeight="1">
      <c r="A375" s="1122"/>
      <c r="B375" s="1172"/>
      <c r="C375" s="1152"/>
      <c r="D375" s="1173"/>
      <c r="E375" s="350"/>
      <c r="F375" s="1128"/>
      <c r="G375" s="317" t="s">
        <v>15</v>
      </c>
      <c r="H375" s="316">
        <f t="shared" si="85"/>
        <v>470648</v>
      </c>
      <c r="I375" s="315">
        <f t="shared" si="86"/>
        <v>0</v>
      </c>
      <c r="J375" s="315">
        <f>J373+J374</f>
        <v>0</v>
      </c>
      <c r="K375" s="315">
        <f>K373+K374</f>
        <v>0</v>
      </c>
      <c r="L375" s="315">
        <f t="shared" si="87"/>
        <v>470648</v>
      </c>
      <c r="M375" s="315">
        <f>M373+M374</f>
        <v>0</v>
      </c>
      <c r="N375" s="315">
        <f>N373+N374</f>
        <v>470648</v>
      </c>
    </row>
    <row r="376" spans="1:14" s="298" customFormat="1" ht="15" hidden="1" customHeight="1">
      <c r="A376" s="1132"/>
      <c r="B376" s="1133"/>
      <c r="C376" s="1170" t="s">
        <v>294</v>
      </c>
      <c r="D376" s="1171"/>
      <c r="E376" s="347" t="s">
        <v>640</v>
      </c>
      <c r="F376" s="1124" t="s">
        <v>641</v>
      </c>
      <c r="G376" s="317" t="s">
        <v>13</v>
      </c>
      <c r="H376" s="316">
        <f t="shared" si="85"/>
        <v>263140</v>
      </c>
      <c r="I376" s="315">
        <f t="shared" si="86"/>
        <v>263140</v>
      </c>
      <c r="J376" s="315">
        <v>0</v>
      </c>
      <c r="K376" s="315">
        <v>263140</v>
      </c>
      <c r="L376" s="315">
        <f t="shared" si="87"/>
        <v>0</v>
      </c>
      <c r="M376" s="315">
        <v>0</v>
      </c>
      <c r="N376" s="315">
        <v>0</v>
      </c>
    </row>
    <row r="377" spans="1:14" s="298" customFormat="1" ht="15" hidden="1" customHeight="1">
      <c r="A377" s="1132"/>
      <c r="B377" s="1172"/>
      <c r="C377" s="1134"/>
      <c r="D377" s="1172"/>
      <c r="E377" s="346"/>
      <c r="F377" s="1126"/>
      <c r="G377" s="317" t="s">
        <v>14</v>
      </c>
      <c r="H377" s="316">
        <f t="shared" si="85"/>
        <v>0</v>
      </c>
      <c r="I377" s="315">
        <f t="shared" si="86"/>
        <v>0</v>
      </c>
      <c r="J377" s="315">
        <v>0</v>
      </c>
      <c r="K377" s="315">
        <v>0</v>
      </c>
      <c r="L377" s="315">
        <f t="shared" si="87"/>
        <v>0</v>
      </c>
      <c r="M377" s="315">
        <v>0</v>
      </c>
      <c r="N377" s="315">
        <v>0</v>
      </c>
    </row>
    <row r="378" spans="1:14" s="298" customFormat="1" ht="15" hidden="1" customHeight="1">
      <c r="A378" s="1132"/>
      <c r="B378" s="1172"/>
      <c r="C378" s="1134"/>
      <c r="D378" s="1172"/>
      <c r="E378" s="346"/>
      <c r="F378" s="1128"/>
      <c r="G378" s="317" t="s">
        <v>15</v>
      </c>
      <c r="H378" s="316">
        <f t="shared" si="85"/>
        <v>263140</v>
      </c>
      <c r="I378" s="315">
        <f t="shared" si="86"/>
        <v>263140</v>
      </c>
      <c r="J378" s="315">
        <f>J376+J377</f>
        <v>0</v>
      </c>
      <c r="K378" s="315">
        <f>K376+K377</f>
        <v>263140</v>
      </c>
      <c r="L378" s="315">
        <f t="shared" si="87"/>
        <v>0</v>
      </c>
      <c r="M378" s="315">
        <f>M376+M377</f>
        <v>0</v>
      </c>
      <c r="N378" s="315">
        <f>N376+N377</f>
        <v>0</v>
      </c>
    </row>
    <row r="379" spans="1:14" s="298" customFormat="1" ht="15.6" customHeight="1">
      <c r="A379" s="1168" t="s">
        <v>271</v>
      </c>
      <c r="B379" s="1169"/>
      <c r="C379" s="1134" t="s">
        <v>294</v>
      </c>
      <c r="D379" s="1135"/>
      <c r="E379" s="349" t="s">
        <v>640</v>
      </c>
      <c r="F379" s="1124" t="s">
        <v>639</v>
      </c>
      <c r="G379" s="317" t="s">
        <v>13</v>
      </c>
      <c r="H379" s="316">
        <f t="shared" si="85"/>
        <v>604389</v>
      </c>
      <c r="I379" s="315">
        <f t="shared" si="86"/>
        <v>399739</v>
      </c>
      <c r="J379" s="315">
        <v>0</v>
      </c>
      <c r="K379" s="315">
        <v>399739</v>
      </c>
      <c r="L379" s="315">
        <f t="shared" si="87"/>
        <v>204650</v>
      </c>
      <c r="M379" s="315">
        <v>0</v>
      </c>
      <c r="N379" s="315">
        <v>204650</v>
      </c>
    </row>
    <row r="380" spans="1:14" s="298" customFormat="1" ht="15.6" customHeight="1">
      <c r="A380" s="1132"/>
      <c r="B380" s="1172"/>
      <c r="C380" s="1134"/>
      <c r="D380" s="1172"/>
      <c r="E380" s="349"/>
      <c r="F380" s="1126"/>
      <c r="G380" s="317" t="s">
        <v>14</v>
      </c>
      <c r="H380" s="316">
        <f t="shared" si="85"/>
        <v>380068</v>
      </c>
      <c r="I380" s="315">
        <f t="shared" si="86"/>
        <v>0</v>
      </c>
      <c r="J380" s="315">
        <v>0</v>
      </c>
      <c r="K380" s="315">
        <v>0</v>
      </c>
      <c r="L380" s="315">
        <f t="shared" si="87"/>
        <v>380068</v>
      </c>
      <c r="M380" s="315">
        <v>0</v>
      </c>
      <c r="N380" s="315">
        <v>380068</v>
      </c>
    </row>
    <row r="381" spans="1:14" s="298" customFormat="1" ht="15.6" customHeight="1">
      <c r="A381" s="1181"/>
      <c r="B381" s="1173"/>
      <c r="C381" s="1180"/>
      <c r="D381" s="1173"/>
      <c r="E381" s="348"/>
      <c r="F381" s="1128"/>
      <c r="G381" s="317" t="s">
        <v>15</v>
      </c>
      <c r="H381" s="316">
        <f t="shared" si="85"/>
        <v>984457</v>
      </c>
      <c r="I381" s="315">
        <f t="shared" si="86"/>
        <v>399739</v>
      </c>
      <c r="J381" s="315">
        <f>J379+J380</f>
        <v>0</v>
      </c>
      <c r="K381" s="315">
        <f>K379+K380</f>
        <v>399739</v>
      </c>
      <c r="L381" s="315">
        <f t="shared" si="87"/>
        <v>584718</v>
      </c>
      <c r="M381" s="315">
        <f>M379+M380</f>
        <v>0</v>
      </c>
      <c r="N381" s="315">
        <f>N379+N380</f>
        <v>584718</v>
      </c>
    </row>
    <row r="382" spans="1:14" s="307" customFormat="1" ht="5.25" customHeight="1">
      <c r="A382" s="338"/>
      <c r="B382" s="337"/>
      <c r="C382" s="337"/>
      <c r="D382" s="337"/>
      <c r="E382" s="337"/>
      <c r="F382" s="337"/>
      <c r="G382" s="336"/>
      <c r="H382" s="335"/>
      <c r="I382" s="334"/>
      <c r="J382" s="334"/>
      <c r="K382" s="334"/>
      <c r="L382" s="334"/>
      <c r="M382" s="334"/>
      <c r="N382" s="333"/>
    </row>
    <row r="383" spans="1:14" s="339" customFormat="1" ht="15" hidden="1" customHeight="1">
      <c r="A383" s="1190" t="s">
        <v>638</v>
      </c>
      <c r="B383" s="1191"/>
      <c r="C383" s="1191"/>
      <c r="D383" s="1191"/>
      <c r="E383" s="1191"/>
      <c r="F383" s="1191"/>
      <c r="G383" s="345" t="s">
        <v>13</v>
      </c>
      <c r="H383" s="344">
        <f>I383+L383</f>
        <v>15592564</v>
      </c>
      <c r="I383" s="343">
        <f>J383+K383</f>
        <v>12901668</v>
      </c>
      <c r="J383" s="343">
        <f t="shared" ref="J383:K385" si="88">J387+J390</f>
        <v>0</v>
      </c>
      <c r="K383" s="343">
        <f t="shared" si="88"/>
        <v>12901668</v>
      </c>
      <c r="L383" s="343">
        <f>M383+N383</f>
        <v>2690896</v>
      </c>
      <c r="M383" s="343">
        <f t="shared" ref="M383:N385" si="89">M387+M390</f>
        <v>0</v>
      </c>
      <c r="N383" s="343">
        <f t="shared" si="89"/>
        <v>2690896</v>
      </c>
    </row>
    <row r="384" spans="1:14" s="339" customFormat="1" ht="15" hidden="1" customHeight="1">
      <c r="A384" s="1192"/>
      <c r="B384" s="1193"/>
      <c r="C384" s="1193"/>
      <c r="D384" s="1193"/>
      <c r="E384" s="1193"/>
      <c r="F384" s="1193"/>
      <c r="G384" s="345" t="s">
        <v>14</v>
      </c>
      <c r="H384" s="344">
        <f>I384+L384</f>
        <v>0</v>
      </c>
      <c r="I384" s="343">
        <f>J384+K384</f>
        <v>0</v>
      </c>
      <c r="J384" s="343">
        <f t="shared" si="88"/>
        <v>0</v>
      </c>
      <c r="K384" s="343">
        <f t="shared" si="88"/>
        <v>0</v>
      </c>
      <c r="L384" s="343">
        <f>M384+N384</f>
        <v>0</v>
      </c>
      <c r="M384" s="343">
        <f t="shared" si="89"/>
        <v>0</v>
      </c>
      <c r="N384" s="343">
        <f t="shared" si="89"/>
        <v>0</v>
      </c>
    </row>
    <row r="385" spans="1:14" s="339" customFormat="1" ht="15" hidden="1" customHeight="1">
      <c r="A385" s="1194"/>
      <c r="B385" s="1195"/>
      <c r="C385" s="1195"/>
      <c r="D385" s="1195"/>
      <c r="E385" s="1195"/>
      <c r="F385" s="1195"/>
      <c r="G385" s="345" t="s">
        <v>15</v>
      </c>
      <c r="H385" s="344">
        <f>I385+L385</f>
        <v>15592564</v>
      </c>
      <c r="I385" s="343">
        <f>J385+K385</f>
        <v>12901668</v>
      </c>
      <c r="J385" s="343">
        <f t="shared" si="88"/>
        <v>0</v>
      </c>
      <c r="K385" s="343">
        <f t="shared" si="88"/>
        <v>12901668</v>
      </c>
      <c r="L385" s="343">
        <f>M385+N385</f>
        <v>2690896</v>
      </c>
      <c r="M385" s="343">
        <f t="shared" si="89"/>
        <v>0</v>
      </c>
      <c r="N385" s="343">
        <f t="shared" si="89"/>
        <v>2690896</v>
      </c>
    </row>
    <row r="386" spans="1:14" s="307" customFormat="1" ht="5.25" hidden="1" customHeight="1">
      <c r="A386" s="313"/>
      <c r="B386" s="337"/>
      <c r="C386" s="337"/>
      <c r="D386" s="337"/>
      <c r="E386" s="337"/>
      <c r="F386" s="337"/>
      <c r="G386" s="336"/>
      <c r="H386" s="335"/>
      <c r="I386" s="334"/>
      <c r="J386" s="334"/>
      <c r="K386" s="334"/>
      <c r="L386" s="334"/>
      <c r="M386" s="334"/>
      <c r="N386" s="333"/>
    </row>
    <row r="387" spans="1:14" s="298" customFormat="1" ht="15" hidden="1" customHeight="1">
      <c r="A387" s="1168" t="s">
        <v>258</v>
      </c>
      <c r="B387" s="1169"/>
      <c r="C387" s="1170" t="s">
        <v>637</v>
      </c>
      <c r="D387" s="1171"/>
      <c r="E387" s="347" t="s">
        <v>636</v>
      </c>
      <c r="F387" s="1124" t="s">
        <v>635</v>
      </c>
      <c r="G387" s="317" t="s">
        <v>13</v>
      </c>
      <c r="H387" s="316">
        <f t="shared" ref="H387:H392" si="90">I387+L387</f>
        <v>11933564</v>
      </c>
      <c r="I387" s="315">
        <f t="shared" ref="I387:I392" si="91">J387+K387</f>
        <v>11933564</v>
      </c>
      <c r="J387" s="315">
        <v>0</v>
      </c>
      <c r="K387" s="315">
        <v>11933564</v>
      </c>
      <c r="L387" s="315">
        <f t="shared" ref="L387:L392" si="92">M387+N387</f>
        <v>0</v>
      </c>
      <c r="M387" s="315">
        <v>0</v>
      </c>
      <c r="N387" s="315">
        <v>0</v>
      </c>
    </row>
    <row r="388" spans="1:14" s="298" customFormat="1" ht="15" hidden="1" customHeight="1">
      <c r="A388" s="1132"/>
      <c r="B388" s="1172"/>
      <c r="C388" s="1134"/>
      <c r="D388" s="1172"/>
      <c r="E388" s="346"/>
      <c r="F388" s="1126"/>
      <c r="G388" s="317" t="s">
        <v>14</v>
      </c>
      <c r="H388" s="316">
        <f t="shared" si="90"/>
        <v>0</v>
      </c>
      <c r="I388" s="315">
        <f t="shared" si="91"/>
        <v>0</v>
      </c>
      <c r="J388" s="315">
        <v>0</v>
      </c>
      <c r="K388" s="315">
        <v>0</v>
      </c>
      <c r="L388" s="315">
        <f t="shared" si="92"/>
        <v>0</v>
      </c>
      <c r="M388" s="315">
        <v>0</v>
      </c>
      <c r="N388" s="315">
        <v>0</v>
      </c>
    </row>
    <row r="389" spans="1:14" s="298" customFormat="1" ht="15" hidden="1" customHeight="1">
      <c r="A389" s="1181"/>
      <c r="B389" s="1173"/>
      <c r="C389" s="1180"/>
      <c r="D389" s="1173"/>
      <c r="E389" s="332"/>
      <c r="F389" s="1128"/>
      <c r="G389" s="317" t="s">
        <v>15</v>
      </c>
      <c r="H389" s="316">
        <f t="shared" si="90"/>
        <v>11933564</v>
      </c>
      <c r="I389" s="315">
        <f t="shared" si="91"/>
        <v>11933564</v>
      </c>
      <c r="J389" s="315">
        <f>J387+J388</f>
        <v>0</v>
      </c>
      <c r="K389" s="315">
        <f>K387+K388</f>
        <v>11933564</v>
      </c>
      <c r="L389" s="315">
        <f t="shared" si="92"/>
        <v>0</v>
      </c>
      <c r="M389" s="315">
        <f>M387+M388</f>
        <v>0</v>
      </c>
      <c r="N389" s="315">
        <f>N387+N388</f>
        <v>0</v>
      </c>
    </row>
    <row r="390" spans="1:14" s="298" customFormat="1" ht="15" hidden="1" customHeight="1">
      <c r="A390" s="1168" t="s">
        <v>417</v>
      </c>
      <c r="B390" s="1169"/>
      <c r="C390" s="1170" t="s">
        <v>634</v>
      </c>
      <c r="D390" s="1171"/>
      <c r="E390" s="347" t="s">
        <v>633</v>
      </c>
      <c r="F390" s="1124" t="s">
        <v>632</v>
      </c>
      <c r="G390" s="317" t="s">
        <v>13</v>
      </c>
      <c r="H390" s="316">
        <f t="shared" si="90"/>
        <v>3659000</v>
      </c>
      <c r="I390" s="315">
        <f t="shared" si="91"/>
        <v>968104</v>
      </c>
      <c r="J390" s="315">
        <v>0</v>
      </c>
      <c r="K390" s="315">
        <v>968104</v>
      </c>
      <c r="L390" s="315">
        <f t="shared" si="92"/>
        <v>2690896</v>
      </c>
      <c r="M390" s="315">
        <v>0</v>
      </c>
      <c r="N390" s="315">
        <v>2690896</v>
      </c>
    </row>
    <row r="391" spans="1:14" s="298" customFormat="1" ht="15" hidden="1" customHeight="1">
      <c r="A391" s="1132"/>
      <c r="B391" s="1133"/>
      <c r="C391" s="1134"/>
      <c r="D391" s="1135"/>
      <c r="E391" s="346"/>
      <c r="F391" s="1126"/>
      <c r="G391" s="317" t="s">
        <v>14</v>
      </c>
      <c r="H391" s="316">
        <f t="shared" si="90"/>
        <v>0</v>
      </c>
      <c r="I391" s="315">
        <f t="shared" si="91"/>
        <v>0</v>
      </c>
      <c r="J391" s="315">
        <v>0</v>
      </c>
      <c r="K391" s="315">
        <v>0</v>
      </c>
      <c r="L391" s="315">
        <f t="shared" si="92"/>
        <v>0</v>
      </c>
      <c r="M391" s="315">
        <v>0</v>
      </c>
      <c r="N391" s="315">
        <v>0</v>
      </c>
    </row>
    <row r="392" spans="1:14" s="298" customFormat="1" ht="15" hidden="1" customHeight="1">
      <c r="A392" s="1132"/>
      <c r="B392" s="1133"/>
      <c r="C392" s="1134"/>
      <c r="D392" s="1135"/>
      <c r="E392" s="332"/>
      <c r="F392" s="1128"/>
      <c r="G392" s="317" t="s">
        <v>15</v>
      </c>
      <c r="H392" s="316">
        <f t="shared" si="90"/>
        <v>3659000</v>
      </c>
      <c r="I392" s="315">
        <f t="shared" si="91"/>
        <v>968104</v>
      </c>
      <c r="J392" s="315">
        <f>J390+J391</f>
        <v>0</v>
      </c>
      <c r="K392" s="315">
        <f>K390+K391</f>
        <v>968104</v>
      </c>
      <c r="L392" s="315">
        <f t="shared" si="92"/>
        <v>2690896</v>
      </c>
      <c r="M392" s="315">
        <f>M390+M391</f>
        <v>0</v>
      </c>
      <c r="N392" s="315">
        <f>N390+N391</f>
        <v>2690896</v>
      </c>
    </row>
    <row r="393" spans="1:14" s="307" customFormat="1" ht="5.25" hidden="1" customHeight="1">
      <c r="A393" s="338"/>
      <c r="B393" s="337"/>
      <c r="C393" s="337"/>
      <c r="D393" s="337"/>
      <c r="E393" s="337"/>
      <c r="F393" s="337"/>
      <c r="G393" s="336"/>
      <c r="H393" s="335"/>
      <c r="I393" s="334"/>
      <c r="J393" s="334"/>
      <c r="K393" s="334"/>
      <c r="L393" s="334"/>
      <c r="M393" s="334"/>
      <c r="N393" s="333"/>
    </row>
    <row r="394" spans="1:14" s="339" customFormat="1" ht="15" hidden="1" customHeight="1">
      <c r="A394" s="1190" t="s">
        <v>631</v>
      </c>
      <c r="B394" s="1191"/>
      <c r="C394" s="1191"/>
      <c r="D394" s="1191"/>
      <c r="E394" s="1191"/>
      <c r="F394" s="1191"/>
      <c r="G394" s="345" t="s">
        <v>13</v>
      </c>
      <c r="H394" s="344">
        <f>I394+L394</f>
        <v>580000</v>
      </c>
      <c r="I394" s="343">
        <f>J394+K394</f>
        <v>100000</v>
      </c>
      <c r="J394" s="343">
        <f t="shared" ref="J394:K396" si="93">J398</f>
        <v>0</v>
      </c>
      <c r="K394" s="343">
        <f t="shared" si="93"/>
        <v>100000</v>
      </c>
      <c r="L394" s="343">
        <f>M394+N394</f>
        <v>480000</v>
      </c>
      <c r="M394" s="343">
        <f t="shared" ref="M394:N396" si="94">M398</f>
        <v>0</v>
      </c>
      <c r="N394" s="343">
        <f t="shared" si="94"/>
        <v>480000</v>
      </c>
    </row>
    <row r="395" spans="1:14" s="339" customFormat="1" ht="15" hidden="1" customHeight="1">
      <c r="A395" s="1192"/>
      <c r="B395" s="1193"/>
      <c r="C395" s="1193"/>
      <c r="D395" s="1193"/>
      <c r="E395" s="1193"/>
      <c r="F395" s="1193"/>
      <c r="G395" s="345" t="s">
        <v>14</v>
      </c>
      <c r="H395" s="344">
        <f>I395+L395</f>
        <v>0</v>
      </c>
      <c r="I395" s="343">
        <f>J395+K395</f>
        <v>0</v>
      </c>
      <c r="J395" s="343">
        <f t="shared" si="93"/>
        <v>0</v>
      </c>
      <c r="K395" s="343">
        <f t="shared" si="93"/>
        <v>0</v>
      </c>
      <c r="L395" s="343">
        <f>M395+N395</f>
        <v>0</v>
      </c>
      <c r="M395" s="343">
        <f t="shared" si="94"/>
        <v>0</v>
      </c>
      <c r="N395" s="343">
        <f t="shared" si="94"/>
        <v>0</v>
      </c>
    </row>
    <row r="396" spans="1:14" s="339" customFormat="1" ht="15" hidden="1" customHeight="1">
      <c r="A396" s="1194"/>
      <c r="B396" s="1195"/>
      <c r="C396" s="1195"/>
      <c r="D396" s="1195"/>
      <c r="E396" s="1195"/>
      <c r="F396" s="1195"/>
      <c r="G396" s="345" t="s">
        <v>15</v>
      </c>
      <c r="H396" s="344">
        <f>I396+L396</f>
        <v>580000</v>
      </c>
      <c r="I396" s="343">
        <f>J396+K396</f>
        <v>100000</v>
      </c>
      <c r="J396" s="343">
        <f t="shared" si="93"/>
        <v>0</v>
      </c>
      <c r="K396" s="343">
        <f t="shared" si="93"/>
        <v>100000</v>
      </c>
      <c r="L396" s="343">
        <f>M396+N396</f>
        <v>480000</v>
      </c>
      <c r="M396" s="343">
        <f t="shared" si="94"/>
        <v>0</v>
      </c>
      <c r="N396" s="343">
        <f t="shared" si="94"/>
        <v>480000</v>
      </c>
    </row>
    <row r="397" spans="1:14" s="307" customFormat="1" ht="5.25" hidden="1" customHeight="1">
      <c r="A397" s="338"/>
      <c r="B397" s="337"/>
      <c r="C397" s="337"/>
      <c r="D397" s="337"/>
      <c r="E397" s="337"/>
      <c r="F397" s="337"/>
      <c r="G397" s="336"/>
      <c r="H397" s="335"/>
      <c r="I397" s="334"/>
      <c r="J397" s="334"/>
      <c r="K397" s="334"/>
      <c r="L397" s="334"/>
      <c r="M397" s="334"/>
      <c r="N397" s="333"/>
    </row>
    <row r="398" spans="1:14" s="314" customFormat="1" ht="15" hidden="1" customHeight="1">
      <c r="A398" s="1142" t="s">
        <v>16</v>
      </c>
      <c r="B398" s="1196"/>
      <c r="C398" s="1144" t="s">
        <v>91</v>
      </c>
      <c r="D398" s="1145"/>
      <c r="E398" s="1124" t="s">
        <v>630</v>
      </c>
      <c r="F398" s="1197"/>
      <c r="G398" s="342" t="s">
        <v>13</v>
      </c>
      <c r="H398" s="316">
        <f>I398+L398</f>
        <v>580000</v>
      </c>
      <c r="I398" s="315">
        <f>J398+K398</f>
        <v>100000</v>
      </c>
      <c r="J398" s="315">
        <v>0</v>
      </c>
      <c r="K398" s="315">
        <v>100000</v>
      </c>
      <c r="L398" s="315">
        <f>M398+N398</f>
        <v>480000</v>
      </c>
      <c r="M398" s="315">
        <v>0</v>
      </c>
      <c r="N398" s="315">
        <v>480000</v>
      </c>
    </row>
    <row r="399" spans="1:14" s="314" customFormat="1" ht="15" hidden="1" customHeight="1">
      <c r="A399" s="1122"/>
      <c r="B399" s="1149"/>
      <c r="C399" s="1130"/>
      <c r="D399" s="1149"/>
      <c r="E399" s="1198"/>
      <c r="F399" s="1199"/>
      <c r="G399" s="342" t="s">
        <v>14</v>
      </c>
      <c r="H399" s="316">
        <f>I399+L399</f>
        <v>0</v>
      </c>
      <c r="I399" s="315">
        <f>J399+K399</f>
        <v>0</v>
      </c>
      <c r="J399" s="315">
        <v>0</v>
      </c>
      <c r="K399" s="315">
        <v>0</v>
      </c>
      <c r="L399" s="315">
        <f>M399+N399</f>
        <v>0</v>
      </c>
      <c r="M399" s="315">
        <v>0</v>
      </c>
      <c r="N399" s="315">
        <v>0</v>
      </c>
    </row>
    <row r="400" spans="1:14" s="314" customFormat="1" ht="15" hidden="1" customHeight="1">
      <c r="A400" s="1150"/>
      <c r="B400" s="1151"/>
      <c r="C400" s="1152"/>
      <c r="D400" s="1151"/>
      <c r="E400" s="1200"/>
      <c r="F400" s="1201"/>
      <c r="G400" s="342" t="s">
        <v>15</v>
      </c>
      <c r="H400" s="316">
        <f>I400+L400</f>
        <v>580000</v>
      </c>
      <c r="I400" s="315">
        <f>J400+K400</f>
        <v>100000</v>
      </c>
      <c r="J400" s="315">
        <f>J398+J399</f>
        <v>0</v>
      </c>
      <c r="K400" s="315">
        <f>K398+K399</f>
        <v>100000</v>
      </c>
      <c r="L400" s="315">
        <f>M400+N400</f>
        <v>480000</v>
      </c>
      <c r="M400" s="315">
        <f>M398+M399</f>
        <v>0</v>
      </c>
      <c r="N400" s="315">
        <f>N398+N399</f>
        <v>480000</v>
      </c>
    </row>
    <row r="401" spans="1:14" s="307" customFormat="1" ht="5.25" hidden="1" customHeight="1">
      <c r="A401" s="338"/>
      <c r="B401" s="337"/>
      <c r="C401" s="337"/>
      <c r="D401" s="337"/>
      <c r="E401" s="337"/>
      <c r="F401" s="337"/>
      <c r="G401" s="336"/>
      <c r="H401" s="335"/>
      <c r="I401" s="334"/>
      <c r="J401" s="334"/>
      <c r="K401" s="334"/>
      <c r="L401" s="334"/>
      <c r="M401" s="334"/>
      <c r="N401" s="333"/>
    </row>
    <row r="402" spans="1:14" s="339" customFormat="1" ht="15" customHeight="1">
      <c r="A402" s="1202" t="s">
        <v>629</v>
      </c>
      <c r="B402" s="1203"/>
      <c r="C402" s="1203"/>
      <c r="D402" s="1203"/>
      <c r="E402" s="1203"/>
      <c r="F402" s="1203"/>
      <c r="G402" s="341" t="s">
        <v>13</v>
      </c>
      <c r="H402" s="340">
        <f>I402+L402</f>
        <v>92833025</v>
      </c>
      <c r="I402" s="340">
        <f>J402+K402</f>
        <v>37151950</v>
      </c>
      <c r="J402" s="340">
        <f t="shared" ref="J402:K404" si="95">J406+J409+J412+J415+J418+J421+J424+J427+J430+J433+J436+J439+J442+J445+J448+J451+J454+J457+J460+J463+J466+J469+J472+J475+J478+J481+J484+J487+J490+J493+J496+J499+J502+J505+J508+J511+J514+J517+J520+J523+J526+J529+J532+J535+J538+J541+J544+J547+J550+J553+J556+J559+J562+J565+J568+J571+J574+J577+J580+J583+J586+J589+J592+J595+J598+J601+J604+J607+J610+J613+J616+J619+J622+J625+J628+J631+J634+J637+J640+J643+J646+J649+J652+J655+J658+J661+J664+J667+J670+J673+J676+J679+J682+J685+J688+J691+J694+J697</f>
        <v>25548451</v>
      </c>
      <c r="K402" s="340">
        <f t="shared" si="95"/>
        <v>11603499</v>
      </c>
      <c r="L402" s="340">
        <f>M402+N402</f>
        <v>55681075</v>
      </c>
      <c r="M402" s="340">
        <f t="shared" ref="M402:N404" si="96">M406+M409+M412+M415+M418+M421+M424+M427+M430+M433+M436+M439+M442+M445+M448+M451+M454+M457+M460+M463+M466+M469+M472+M475+M478+M481+M484+M487+M490+M493+M496+M499+M502+M505+M508+M511+M514+M517+M520+M523+M526+M529+M532+M535+M538+M541+M544+M547+M550+M553+M556+M559+M562+M565+M568+M571+M574+M577+M580+M583+M586+M589+M592+M595+M598+M601+M604+M607+M610+M613+M616+M619+M622+M625+M628+M631+M634+M637+M640+M643+M646+M649+M652+M655+M658+M661+M664+M667+M670+M673+M676+M679+M682+M685+M688+M691+M694+M697</f>
        <v>500000</v>
      </c>
      <c r="N402" s="340">
        <f t="shared" si="96"/>
        <v>55181075</v>
      </c>
    </row>
    <row r="403" spans="1:14" s="339" customFormat="1" ht="15" customHeight="1">
      <c r="A403" s="1204"/>
      <c r="B403" s="1205"/>
      <c r="C403" s="1205"/>
      <c r="D403" s="1205"/>
      <c r="E403" s="1205"/>
      <c r="F403" s="1205"/>
      <c r="G403" s="341" t="s">
        <v>14</v>
      </c>
      <c r="H403" s="340">
        <f>I403+L403</f>
        <v>6587451</v>
      </c>
      <c r="I403" s="340">
        <f>J403+K403</f>
        <v>6587451</v>
      </c>
      <c r="J403" s="340">
        <f t="shared" si="95"/>
        <v>6009614</v>
      </c>
      <c r="K403" s="340">
        <f t="shared" si="95"/>
        <v>577837</v>
      </c>
      <c r="L403" s="340">
        <f>M403+N403</f>
        <v>0</v>
      </c>
      <c r="M403" s="340">
        <f t="shared" si="96"/>
        <v>0</v>
      </c>
      <c r="N403" s="340">
        <f t="shared" si="96"/>
        <v>0</v>
      </c>
    </row>
    <row r="404" spans="1:14" s="339" customFormat="1" ht="15" customHeight="1">
      <c r="A404" s="1206"/>
      <c r="B404" s="1207"/>
      <c r="C404" s="1207"/>
      <c r="D404" s="1207"/>
      <c r="E404" s="1207"/>
      <c r="F404" s="1207"/>
      <c r="G404" s="341" t="s">
        <v>15</v>
      </c>
      <c r="H404" s="340">
        <f>I404+L404</f>
        <v>99420476</v>
      </c>
      <c r="I404" s="340">
        <f>J404+K404</f>
        <v>43739401</v>
      </c>
      <c r="J404" s="340">
        <f t="shared" si="95"/>
        <v>31558065</v>
      </c>
      <c r="K404" s="340">
        <f t="shared" si="95"/>
        <v>12181336</v>
      </c>
      <c r="L404" s="340">
        <f>M404+N404</f>
        <v>55681075</v>
      </c>
      <c r="M404" s="340">
        <f t="shared" si="96"/>
        <v>500000</v>
      </c>
      <c r="N404" s="340">
        <f t="shared" si="96"/>
        <v>55181075</v>
      </c>
    </row>
    <row r="405" spans="1:14" s="307" customFormat="1" ht="5.25" customHeight="1">
      <c r="A405" s="338"/>
      <c r="B405" s="337"/>
      <c r="C405" s="337"/>
      <c r="D405" s="337"/>
      <c r="E405" s="337"/>
      <c r="F405" s="337"/>
      <c r="G405" s="336"/>
      <c r="H405" s="335"/>
      <c r="I405" s="334"/>
      <c r="J405" s="334"/>
      <c r="K405" s="334"/>
      <c r="L405" s="334"/>
      <c r="M405" s="334"/>
      <c r="N405" s="333"/>
    </row>
    <row r="406" spans="1:14" s="298" customFormat="1" ht="15" hidden="1" customHeight="1">
      <c r="A406" s="1168" t="s">
        <v>16</v>
      </c>
      <c r="B406" s="1169"/>
      <c r="C406" s="1170" t="s">
        <v>89</v>
      </c>
      <c r="D406" s="1171"/>
      <c r="E406" s="1124" t="s">
        <v>628</v>
      </c>
      <c r="F406" s="1146"/>
      <c r="G406" s="317" t="s">
        <v>13</v>
      </c>
      <c r="H406" s="316">
        <f t="shared" ref="H406:H469" si="97">I406+L406</f>
        <v>1300000</v>
      </c>
      <c r="I406" s="315">
        <f t="shared" ref="I406:I469" si="98">J406+K406</f>
        <v>1300000</v>
      </c>
      <c r="J406" s="315">
        <v>0</v>
      </c>
      <c r="K406" s="315">
        <v>1300000</v>
      </c>
      <c r="L406" s="315">
        <f t="shared" ref="L406:L469" si="99">M406+N406</f>
        <v>0</v>
      </c>
      <c r="M406" s="315">
        <v>0</v>
      </c>
      <c r="N406" s="315">
        <v>0</v>
      </c>
    </row>
    <row r="407" spans="1:14" s="298" customFormat="1" ht="15" hidden="1" customHeight="1">
      <c r="A407" s="1132"/>
      <c r="B407" s="1172"/>
      <c r="C407" s="1134"/>
      <c r="D407" s="1172"/>
      <c r="E407" s="1126"/>
      <c r="F407" s="1147"/>
      <c r="G407" s="317" t="s">
        <v>14</v>
      </c>
      <c r="H407" s="316">
        <f t="shared" si="97"/>
        <v>0</v>
      </c>
      <c r="I407" s="315">
        <f t="shared" si="98"/>
        <v>0</v>
      </c>
      <c r="J407" s="315">
        <v>0</v>
      </c>
      <c r="K407" s="315">
        <v>0</v>
      </c>
      <c r="L407" s="315">
        <f t="shared" si="99"/>
        <v>0</v>
      </c>
      <c r="M407" s="315">
        <v>0</v>
      </c>
      <c r="N407" s="315">
        <v>0</v>
      </c>
    </row>
    <row r="408" spans="1:14" s="298" customFormat="1" ht="15" hidden="1" customHeight="1">
      <c r="A408" s="1132"/>
      <c r="B408" s="1172"/>
      <c r="C408" s="1180"/>
      <c r="D408" s="1173"/>
      <c r="E408" s="1128"/>
      <c r="F408" s="1148"/>
      <c r="G408" s="317" t="s">
        <v>15</v>
      </c>
      <c r="H408" s="316">
        <f t="shared" si="97"/>
        <v>1300000</v>
      </c>
      <c r="I408" s="315">
        <f t="shared" si="98"/>
        <v>1300000</v>
      </c>
      <c r="J408" s="315">
        <v>0</v>
      </c>
      <c r="K408" s="315">
        <v>1300000</v>
      </c>
      <c r="L408" s="315">
        <f t="shared" si="99"/>
        <v>0</v>
      </c>
      <c r="M408" s="315">
        <v>0</v>
      </c>
      <c r="N408" s="315">
        <v>0</v>
      </c>
    </row>
    <row r="409" spans="1:14" s="298" customFormat="1" ht="15" hidden="1" customHeight="1">
      <c r="A409" s="1132"/>
      <c r="B409" s="1133"/>
      <c r="C409" s="1170" t="s">
        <v>18</v>
      </c>
      <c r="D409" s="1171"/>
      <c r="E409" s="1124" t="s">
        <v>627</v>
      </c>
      <c r="F409" s="1146"/>
      <c r="G409" s="317" t="s">
        <v>13</v>
      </c>
      <c r="H409" s="316">
        <f t="shared" si="97"/>
        <v>7483839</v>
      </c>
      <c r="I409" s="315">
        <f t="shared" si="98"/>
        <v>6983839</v>
      </c>
      <c r="J409" s="315">
        <v>6983839</v>
      </c>
      <c r="K409" s="315">
        <v>0</v>
      </c>
      <c r="L409" s="315">
        <f t="shared" si="99"/>
        <v>500000</v>
      </c>
      <c r="M409" s="315">
        <v>500000</v>
      </c>
      <c r="N409" s="315">
        <v>0</v>
      </c>
    </row>
    <row r="410" spans="1:14" s="298" customFormat="1" ht="15" hidden="1" customHeight="1">
      <c r="A410" s="1132"/>
      <c r="B410" s="1172"/>
      <c r="C410" s="1134"/>
      <c r="D410" s="1172"/>
      <c r="E410" s="1126"/>
      <c r="F410" s="1147"/>
      <c r="G410" s="317" t="s">
        <v>14</v>
      </c>
      <c r="H410" s="316">
        <f t="shared" si="97"/>
        <v>0</v>
      </c>
      <c r="I410" s="315">
        <f t="shared" si="98"/>
        <v>0</v>
      </c>
      <c r="J410" s="315">
        <v>0</v>
      </c>
      <c r="K410" s="315">
        <v>0</v>
      </c>
      <c r="L410" s="315">
        <f t="shared" si="99"/>
        <v>0</v>
      </c>
      <c r="M410" s="315">
        <v>0</v>
      </c>
      <c r="N410" s="315">
        <v>0</v>
      </c>
    </row>
    <row r="411" spans="1:14" s="298" customFormat="1" ht="15" hidden="1" customHeight="1">
      <c r="A411" s="1132"/>
      <c r="B411" s="1172"/>
      <c r="C411" s="1180"/>
      <c r="D411" s="1173"/>
      <c r="E411" s="1128"/>
      <c r="F411" s="1148"/>
      <c r="G411" s="317" t="s">
        <v>15</v>
      </c>
      <c r="H411" s="316">
        <f t="shared" si="97"/>
        <v>7483839</v>
      </c>
      <c r="I411" s="315">
        <f t="shared" si="98"/>
        <v>6983839</v>
      </c>
      <c r="J411" s="315">
        <f>J409+J410</f>
        <v>6983839</v>
      </c>
      <c r="K411" s="315">
        <f>K409+K410</f>
        <v>0</v>
      </c>
      <c r="L411" s="315">
        <f t="shared" si="99"/>
        <v>500000</v>
      </c>
      <c r="M411" s="315">
        <f>M409+M410</f>
        <v>500000</v>
      </c>
      <c r="N411" s="315">
        <f>N409+N410</f>
        <v>0</v>
      </c>
    </row>
    <row r="412" spans="1:14" s="298" customFormat="1" ht="15" hidden="1" customHeight="1">
      <c r="A412" s="1132"/>
      <c r="B412" s="1133"/>
      <c r="C412" s="1170" t="s">
        <v>94</v>
      </c>
      <c r="D412" s="1171"/>
      <c r="E412" s="1124" t="s">
        <v>626</v>
      </c>
      <c r="F412" s="1146"/>
      <c r="G412" s="317" t="s">
        <v>13</v>
      </c>
      <c r="H412" s="316">
        <f t="shared" si="97"/>
        <v>60000</v>
      </c>
      <c r="I412" s="315">
        <f t="shared" si="98"/>
        <v>60000</v>
      </c>
      <c r="J412" s="315">
        <v>0</v>
      </c>
      <c r="K412" s="315">
        <v>60000</v>
      </c>
      <c r="L412" s="315">
        <f t="shared" si="99"/>
        <v>0</v>
      </c>
      <c r="M412" s="315">
        <v>0</v>
      </c>
      <c r="N412" s="315">
        <v>0</v>
      </c>
    </row>
    <row r="413" spans="1:14" s="298" customFormat="1" ht="15" hidden="1" customHeight="1">
      <c r="A413" s="1132"/>
      <c r="B413" s="1172"/>
      <c r="C413" s="1134"/>
      <c r="D413" s="1172"/>
      <c r="E413" s="1126"/>
      <c r="F413" s="1147"/>
      <c r="G413" s="317" t="s">
        <v>14</v>
      </c>
      <c r="H413" s="316">
        <f t="shared" si="97"/>
        <v>0</v>
      </c>
      <c r="I413" s="315">
        <f t="shared" si="98"/>
        <v>0</v>
      </c>
      <c r="J413" s="315">
        <v>0</v>
      </c>
      <c r="K413" s="315">
        <v>0</v>
      </c>
      <c r="L413" s="315">
        <f t="shared" si="99"/>
        <v>0</v>
      </c>
      <c r="M413" s="315">
        <v>0</v>
      </c>
      <c r="N413" s="315">
        <v>0</v>
      </c>
    </row>
    <row r="414" spans="1:14" s="298" customFormat="1" ht="15" hidden="1" customHeight="1">
      <c r="A414" s="1181"/>
      <c r="B414" s="1173"/>
      <c r="C414" s="1180"/>
      <c r="D414" s="1173"/>
      <c r="E414" s="1128"/>
      <c r="F414" s="1148"/>
      <c r="G414" s="317" t="s">
        <v>15</v>
      </c>
      <c r="H414" s="316">
        <f t="shared" si="97"/>
        <v>60000</v>
      </c>
      <c r="I414" s="315">
        <f t="shared" si="98"/>
        <v>60000</v>
      </c>
      <c r="J414" s="315">
        <f>J412+J413</f>
        <v>0</v>
      </c>
      <c r="K414" s="315">
        <f>K412+K413</f>
        <v>60000</v>
      </c>
      <c r="L414" s="315">
        <f t="shared" si="99"/>
        <v>0</v>
      </c>
      <c r="M414" s="315">
        <f>M412+M413</f>
        <v>0</v>
      </c>
      <c r="N414" s="315">
        <f>N412+N413</f>
        <v>0</v>
      </c>
    </row>
    <row r="415" spans="1:14" s="314" customFormat="1" ht="14.25" customHeight="1">
      <c r="A415" s="1142" t="s">
        <v>97</v>
      </c>
      <c r="B415" s="1143"/>
      <c r="C415" s="1144" t="s">
        <v>188</v>
      </c>
      <c r="D415" s="1145"/>
      <c r="E415" s="1124" t="s">
        <v>625</v>
      </c>
      <c r="F415" s="1146"/>
      <c r="G415" s="317" t="s">
        <v>13</v>
      </c>
      <c r="H415" s="316">
        <f t="shared" si="97"/>
        <v>1253635</v>
      </c>
      <c r="I415" s="315">
        <f t="shared" si="98"/>
        <v>1253635</v>
      </c>
      <c r="J415" s="315">
        <v>0</v>
      </c>
      <c r="K415" s="315">
        <v>1253635</v>
      </c>
      <c r="L415" s="315">
        <f t="shared" si="99"/>
        <v>0</v>
      </c>
      <c r="M415" s="315">
        <v>0</v>
      </c>
      <c r="N415" s="315">
        <v>0</v>
      </c>
    </row>
    <row r="416" spans="1:14" s="314" customFormat="1" ht="14.25" customHeight="1">
      <c r="A416" s="1122"/>
      <c r="B416" s="1172"/>
      <c r="C416" s="1130"/>
      <c r="D416" s="1172"/>
      <c r="E416" s="1126"/>
      <c r="F416" s="1147"/>
      <c r="G416" s="317" t="s">
        <v>14</v>
      </c>
      <c r="H416" s="316">
        <f t="shared" si="97"/>
        <v>120670</v>
      </c>
      <c r="I416" s="315">
        <f t="shared" si="98"/>
        <v>120670</v>
      </c>
      <c r="J416" s="315">
        <v>0</v>
      </c>
      <c r="K416" s="315">
        <v>120670</v>
      </c>
      <c r="L416" s="315">
        <f t="shared" si="99"/>
        <v>0</v>
      </c>
      <c r="M416" s="315">
        <v>0</v>
      </c>
      <c r="N416" s="315">
        <v>0</v>
      </c>
    </row>
    <row r="417" spans="1:14" s="314" customFormat="1" ht="14.25" customHeight="1">
      <c r="A417" s="1150"/>
      <c r="B417" s="1173"/>
      <c r="C417" s="1152"/>
      <c r="D417" s="1173"/>
      <c r="E417" s="1128"/>
      <c r="F417" s="1148"/>
      <c r="G417" s="317" t="s">
        <v>15</v>
      </c>
      <c r="H417" s="316">
        <f t="shared" si="97"/>
        <v>1374305</v>
      </c>
      <c r="I417" s="315">
        <f t="shared" si="98"/>
        <v>1374305</v>
      </c>
      <c r="J417" s="315">
        <f>J415+J416</f>
        <v>0</v>
      </c>
      <c r="K417" s="315">
        <f>K415+K416</f>
        <v>1374305</v>
      </c>
      <c r="L417" s="315">
        <f t="shared" si="99"/>
        <v>0</v>
      </c>
      <c r="M417" s="315">
        <f>M415+M416</f>
        <v>0</v>
      </c>
      <c r="N417" s="315">
        <f>N415+N416</f>
        <v>0</v>
      </c>
    </row>
    <row r="418" spans="1:14" s="298" customFormat="1" ht="15" hidden="1" customHeight="1">
      <c r="A418" s="1168" t="s">
        <v>19</v>
      </c>
      <c r="B418" s="1169"/>
      <c r="C418" s="1170" t="s">
        <v>106</v>
      </c>
      <c r="D418" s="1171"/>
      <c r="E418" s="1124" t="s">
        <v>624</v>
      </c>
      <c r="F418" s="1146"/>
      <c r="G418" s="317" t="s">
        <v>13</v>
      </c>
      <c r="H418" s="316">
        <f t="shared" si="97"/>
        <v>0</v>
      </c>
      <c r="I418" s="315">
        <f t="shared" si="98"/>
        <v>0</v>
      </c>
      <c r="J418" s="315">
        <v>0</v>
      </c>
      <c r="K418" s="315">
        <v>0</v>
      </c>
      <c r="L418" s="315">
        <f t="shared" si="99"/>
        <v>0</v>
      </c>
      <c r="M418" s="315">
        <v>0</v>
      </c>
      <c r="N418" s="315">
        <v>0</v>
      </c>
    </row>
    <row r="419" spans="1:14" s="298" customFormat="1" ht="15" hidden="1" customHeight="1">
      <c r="A419" s="1132"/>
      <c r="B419" s="1172"/>
      <c r="C419" s="1134"/>
      <c r="D419" s="1172"/>
      <c r="E419" s="1126"/>
      <c r="F419" s="1147"/>
      <c r="G419" s="317" t="s">
        <v>14</v>
      </c>
      <c r="H419" s="316">
        <f t="shared" si="97"/>
        <v>0</v>
      </c>
      <c r="I419" s="315">
        <f t="shared" si="98"/>
        <v>0</v>
      </c>
      <c r="J419" s="315">
        <v>0</v>
      </c>
      <c r="K419" s="315">
        <v>0</v>
      </c>
      <c r="L419" s="315">
        <f t="shared" si="99"/>
        <v>0</v>
      </c>
      <c r="M419" s="315">
        <v>0</v>
      </c>
      <c r="N419" s="315">
        <v>0</v>
      </c>
    </row>
    <row r="420" spans="1:14" s="298" customFormat="1" ht="15" hidden="1" customHeight="1">
      <c r="A420" s="1132"/>
      <c r="B420" s="1172"/>
      <c r="C420" s="1180"/>
      <c r="D420" s="1173"/>
      <c r="E420" s="1128"/>
      <c r="F420" s="1148"/>
      <c r="G420" s="317" t="s">
        <v>15</v>
      </c>
      <c r="H420" s="316">
        <f t="shared" si="97"/>
        <v>0</v>
      </c>
      <c r="I420" s="315">
        <f t="shared" si="98"/>
        <v>0</v>
      </c>
      <c r="J420" s="315">
        <f>J418+J419</f>
        <v>0</v>
      </c>
      <c r="K420" s="315">
        <f>K418+K419</f>
        <v>0</v>
      </c>
      <c r="L420" s="315">
        <f t="shared" si="99"/>
        <v>0</v>
      </c>
      <c r="M420" s="315">
        <f>M418+M419</f>
        <v>0</v>
      </c>
      <c r="N420" s="315">
        <f>N418+N419</f>
        <v>0</v>
      </c>
    </row>
    <row r="421" spans="1:14" s="314" customFormat="1" ht="15" hidden="1" customHeight="1">
      <c r="A421" s="1122"/>
      <c r="B421" s="1123"/>
      <c r="C421" s="1144" t="s">
        <v>48</v>
      </c>
      <c r="D421" s="1145"/>
      <c r="E421" s="1124" t="s">
        <v>623</v>
      </c>
      <c r="F421" s="1146"/>
      <c r="G421" s="317" t="s">
        <v>13</v>
      </c>
      <c r="H421" s="316">
        <f t="shared" si="97"/>
        <v>35000000</v>
      </c>
      <c r="I421" s="315">
        <f t="shared" si="98"/>
        <v>4050000</v>
      </c>
      <c r="J421" s="315">
        <v>0</v>
      </c>
      <c r="K421" s="315">
        <v>4050000</v>
      </c>
      <c r="L421" s="315">
        <f t="shared" si="99"/>
        <v>30950000</v>
      </c>
      <c r="M421" s="315">
        <v>0</v>
      </c>
      <c r="N421" s="315">
        <v>30950000</v>
      </c>
    </row>
    <row r="422" spans="1:14" s="314" customFormat="1" ht="15" hidden="1" customHeight="1">
      <c r="A422" s="1122"/>
      <c r="B422" s="1172"/>
      <c r="C422" s="1130"/>
      <c r="D422" s="1172"/>
      <c r="E422" s="1126"/>
      <c r="F422" s="1147"/>
      <c r="G422" s="317" t="s">
        <v>14</v>
      </c>
      <c r="H422" s="316">
        <f t="shared" si="97"/>
        <v>0</v>
      </c>
      <c r="I422" s="315">
        <f t="shared" si="98"/>
        <v>0</v>
      </c>
      <c r="J422" s="315">
        <v>0</v>
      </c>
      <c r="K422" s="315">
        <v>0</v>
      </c>
      <c r="L422" s="315">
        <f t="shared" si="99"/>
        <v>0</v>
      </c>
      <c r="M422" s="315">
        <v>0</v>
      </c>
      <c r="N422" s="315">
        <v>0</v>
      </c>
    </row>
    <row r="423" spans="1:14" s="314" customFormat="1" ht="15" hidden="1" customHeight="1">
      <c r="A423" s="1122"/>
      <c r="B423" s="1172"/>
      <c r="C423" s="1152"/>
      <c r="D423" s="1173"/>
      <c r="E423" s="1128"/>
      <c r="F423" s="1148"/>
      <c r="G423" s="317" t="s">
        <v>15</v>
      </c>
      <c r="H423" s="316">
        <f t="shared" si="97"/>
        <v>35000000</v>
      </c>
      <c r="I423" s="315">
        <f t="shared" si="98"/>
        <v>4050000</v>
      </c>
      <c r="J423" s="315">
        <f>J421+J422</f>
        <v>0</v>
      </c>
      <c r="K423" s="315">
        <f>K421+K422</f>
        <v>4050000</v>
      </c>
      <c r="L423" s="315">
        <f t="shared" si="99"/>
        <v>30950000</v>
      </c>
      <c r="M423" s="315">
        <f>M421+M422</f>
        <v>0</v>
      </c>
      <c r="N423" s="315">
        <f>N421+N422</f>
        <v>30950000</v>
      </c>
    </row>
    <row r="424" spans="1:14" s="314" customFormat="1" ht="15" hidden="1" customHeight="1">
      <c r="A424" s="1122"/>
      <c r="B424" s="1123"/>
      <c r="C424" s="1144" t="s">
        <v>622</v>
      </c>
      <c r="D424" s="1145"/>
      <c r="E424" s="1124" t="s">
        <v>621</v>
      </c>
      <c r="F424" s="1146"/>
      <c r="G424" s="317" t="s">
        <v>13</v>
      </c>
      <c r="H424" s="316">
        <f t="shared" si="97"/>
        <v>14793298</v>
      </c>
      <c r="I424" s="315">
        <f t="shared" si="98"/>
        <v>0</v>
      </c>
      <c r="J424" s="315">
        <v>0</v>
      </c>
      <c r="K424" s="315">
        <v>0</v>
      </c>
      <c r="L424" s="315">
        <f t="shared" si="99"/>
        <v>14793298</v>
      </c>
      <c r="M424" s="315">
        <v>0</v>
      </c>
      <c r="N424" s="315">
        <v>14793298</v>
      </c>
    </row>
    <row r="425" spans="1:14" s="314" customFormat="1" ht="15" hidden="1" customHeight="1">
      <c r="A425" s="1122"/>
      <c r="B425" s="1172"/>
      <c r="C425" s="1130"/>
      <c r="D425" s="1172"/>
      <c r="E425" s="1126"/>
      <c r="F425" s="1147"/>
      <c r="G425" s="317" t="s">
        <v>14</v>
      </c>
      <c r="H425" s="316">
        <f t="shared" si="97"/>
        <v>0</v>
      </c>
      <c r="I425" s="315">
        <f t="shared" si="98"/>
        <v>0</v>
      </c>
      <c r="J425" s="315">
        <v>0</v>
      </c>
      <c r="K425" s="315">
        <v>0</v>
      </c>
      <c r="L425" s="315">
        <f t="shared" si="99"/>
        <v>0</v>
      </c>
      <c r="M425" s="315">
        <v>0</v>
      </c>
      <c r="N425" s="315">
        <v>0</v>
      </c>
    </row>
    <row r="426" spans="1:14" s="314" customFormat="1" ht="15" hidden="1" customHeight="1">
      <c r="A426" s="1122"/>
      <c r="B426" s="1172"/>
      <c r="C426" s="1152"/>
      <c r="D426" s="1173"/>
      <c r="E426" s="1128"/>
      <c r="F426" s="1148"/>
      <c r="G426" s="317" t="s">
        <v>15</v>
      </c>
      <c r="H426" s="316">
        <f t="shared" si="97"/>
        <v>14793298</v>
      </c>
      <c r="I426" s="315">
        <f t="shared" si="98"/>
        <v>0</v>
      </c>
      <c r="J426" s="315">
        <f>J424+J425</f>
        <v>0</v>
      </c>
      <c r="K426" s="315">
        <f>K424+K425</f>
        <v>0</v>
      </c>
      <c r="L426" s="315">
        <f t="shared" si="99"/>
        <v>14793298</v>
      </c>
      <c r="M426" s="315">
        <f>M424+M425</f>
        <v>0</v>
      </c>
      <c r="N426" s="315">
        <f>N424+N425</f>
        <v>14793298</v>
      </c>
    </row>
    <row r="427" spans="1:14" s="314" customFormat="1" ht="15" hidden="1" customHeight="1">
      <c r="A427" s="1122"/>
      <c r="B427" s="1123"/>
      <c r="C427" s="1130" t="s">
        <v>21</v>
      </c>
      <c r="D427" s="1131"/>
      <c r="E427" s="1126" t="s">
        <v>620</v>
      </c>
      <c r="F427" s="1147"/>
      <c r="G427" s="332" t="s">
        <v>13</v>
      </c>
      <c r="H427" s="329">
        <f t="shared" si="97"/>
        <v>1750000</v>
      </c>
      <c r="I427" s="328">
        <f t="shared" si="98"/>
        <v>1750000</v>
      </c>
      <c r="J427" s="328">
        <v>1750000</v>
      </c>
      <c r="K427" s="328">
        <v>0</v>
      </c>
      <c r="L427" s="328">
        <f t="shared" si="99"/>
        <v>0</v>
      </c>
      <c r="M427" s="328">
        <v>0</v>
      </c>
      <c r="N427" s="328">
        <v>0</v>
      </c>
    </row>
    <row r="428" spans="1:14" s="314" customFormat="1" ht="15" hidden="1" customHeight="1">
      <c r="A428" s="1122"/>
      <c r="B428" s="1172"/>
      <c r="C428" s="1130"/>
      <c r="D428" s="1172"/>
      <c r="E428" s="1126"/>
      <c r="F428" s="1147"/>
      <c r="G428" s="317" t="s">
        <v>14</v>
      </c>
      <c r="H428" s="316">
        <f t="shared" si="97"/>
        <v>0</v>
      </c>
      <c r="I428" s="315">
        <f t="shared" si="98"/>
        <v>0</v>
      </c>
      <c r="J428" s="315">
        <v>0</v>
      </c>
      <c r="K428" s="315">
        <v>0</v>
      </c>
      <c r="L428" s="315">
        <f t="shared" si="99"/>
        <v>0</v>
      </c>
      <c r="M428" s="315">
        <v>0</v>
      </c>
      <c r="N428" s="315">
        <v>0</v>
      </c>
    </row>
    <row r="429" spans="1:14" s="314" customFormat="1" ht="15" hidden="1" customHeight="1">
      <c r="A429" s="1122"/>
      <c r="B429" s="1172"/>
      <c r="C429" s="1130"/>
      <c r="D429" s="1172"/>
      <c r="E429" s="1128"/>
      <c r="F429" s="1148"/>
      <c r="G429" s="317" t="s">
        <v>15</v>
      </c>
      <c r="H429" s="316">
        <f t="shared" si="97"/>
        <v>1750000</v>
      </c>
      <c r="I429" s="315">
        <f t="shared" si="98"/>
        <v>1750000</v>
      </c>
      <c r="J429" s="315">
        <f>J427+J428</f>
        <v>1750000</v>
      </c>
      <c r="K429" s="315">
        <f>K427+K428</f>
        <v>0</v>
      </c>
      <c r="L429" s="315">
        <f t="shared" si="99"/>
        <v>0</v>
      </c>
      <c r="M429" s="315">
        <f>M427+M428</f>
        <v>0</v>
      </c>
      <c r="N429" s="315">
        <f>N427+N428</f>
        <v>0</v>
      </c>
    </row>
    <row r="430" spans="1:14" s="314" customFormat="1" ht="15" hidden="1" customHeight="1">
      <c r="A430" s="1122"/>
      <c r="B430" s="1123"/>
      <c r="C430" s="1130"/>
      <c r="D430" s="1131"/>
      <c r="E430" s="1184" t="s">
        <v>619</v>
      </c>
      <c r="F430" s="1185"/>
      <c r="G430" s="317" t="s">
        <v>13</v>
      </c>
      <c r="H430" s="316">
        <f t="shared" si="97"/>
        <v>40000</v>
      </c>
      <c r="I430" s="315">
        <f t="shared" si="98"/>
        <v>40000</v>
      </c>
      <c r="J430" s="315">
        <v>40000</v>
      </c>
      <c r="K430" s="315">
        <v>0</v>
      </c>
      <c r="L430" s="315">
        <f t="shared" si="99"/>
        <v>0</v>
      </c>
      <c r="M430" s="315">
        <v>0</v>
      </c>
      <c r="N430" s="315">
        <v>0</v>
      </c>
    </row>
    <row r="431" spans="1:14" s="314" customFormat="1" ht="15" hidden="1" customHeight="1">
      <c r="A431" s="1122"/>
      <c r="B431" s="1172"/>
      <c r="C431" s="1130"/>
      <c r="D431" s="1172"/>
      <c r="E431" s="1186"/>
      <c r="F431" s="1187"/>
      <c r="G431" s="317" t="s">
        <v>14</v>
      </c>
      <c r="H431" s="316">
        <f t="shared" si="97"/>
        <v>0</v>
      </c>
      <c r="I431" s="315">
        <f t="shared" si="98"/>
        <v>0</v>
      </c>
      <c r="J431" s="315">
        <v>0</v>
      </c>
      <c r="K431" s="315">
        <v>0</v>
      </c>
      <c r="L431" s="315">
        <f t="shared" si="99"/>
        <v>0</v>
      </c>
      <c r="M431" s="315">
        <v>0</v>
      </c>
      <c r="N431" s="315">
        <v>0</v>
      </c>
    </row>
    <row r="432" spans="1:14" s="314" customFormat="1" ht="15" hidden="1" customHeight="1">
      <c r="A432" s="1122"/>
      <c r="B432" s="1172"/>
      <c r="C432" s="1152"/>
      <c r="D432" s="1173"/>
      <c r="E432" s="1188"/>
      <c r="F432" s="1189"/>
      <c r="G432" s="317" t="s">
        <v>15</v>
      </c>
      <c r="H432" s="316">
        <f t="shared" si="97"/>
        <v>40000</v>
      </c>
      <c r="I432" s="315">
        <f t="shared" si="98"/>
        <v>40000</v>
      </c>
      <c r="J432" s="315">
        <f>J430+J431</f>
        <v>40000</v>
      </c>
      <c r="K432" s="315">
        <f>K430+K431</f>
        <v>0</v>
      </c>
      <c r="L432" s="315">
        <f t="shared" si="99"/>
        <v>0</v>
      </c>
      <c r="M432" s="315">
        <f>M430+M431</f>
        <v>0</v>
      </c>
      <c r="N432" s="315">
        <f>N430+N431</f>
        <v>0</v>
      </c>
    </row>
    <row r="433" spans="1:14" s="314" customFormat="1" ht="18" hidden="1" customHeight="1">
      <c r="A433" s="1122"/>
      <c r="B433" s="1123"/>
      <c r="C433" s="1144" t="s">
        <v>73</v>
      </c>
      <c r="D433" s="1145"/>
      <c r="E433" s="1124" t="s">
        <v>618</v>
      </c>
      <c r="F433" s="1146"/>
      <c r="G433" s="317" t="s">
        <v>13</v>
      </c>
      <c r="H433" s="316">
        <f t="shared" si="97"/>
        <v>4800000</v>
      </c>
      <c r="I433" s="315">
        <f t="shared" si="98"/>
        <v>4800000</v>
      </c>
      <c r="J433" s="315">
        <v>4800000</v>
      </c>
      <c r="K433" s="315">
        <v>0</v>
      </c>
      <c r="L433" s="315">
        <f t="shared" si="99"/>
        <v>0</v>
      </c>
      <c r="M433" s="315">
        <v>0</v>
      </c>
      <c r="N433" s="315">
        <v>0</v>
      </c>
    </row>
    <row r="434" spans="1:14" s="314" customFormat="1" ht="18" hidden="1" customHeight="1">
      <c r="A434" s="1122"/>
      <c r="B434" s="1172"/>
      <c r="C434" s="1130"/>
      <c r="D434" s="1172"/>
      <c r="E434" s="1126"/>
      <c r="F434" s="1147"/>
      <c r="G434" s="317" t="s">
        <v>14</v>
      </c>
      <c r="H434" s="316">
        <f t="shared" si="97"/>
        <v>0</v>
      </c>
      <c r="I434" s="315">
        <f t="shared" si="98"/>
        <v>0</v>
      </c>
      <c r="J434" s="315">
        <v>0</v>
      </c>
      <c r="K434" s="315">
        <v>0</v>
      </c>
      <c r="L434" s="315">
        <f t="shared" si="99"/>
        <v>0</v>
      </c>
      <c r="M434" s="315">
        <v>0</v>
      </c>
      <c r="N434" s="315">
        <v>0</v>
      </c>
    </row>
    <row r="435" spans="1:14" s="314" customFormat="1" ht="18" hidden="1" customHeight="1">
      <c r="A435" s="1122"/>
      <c r="B435" s="1172"/>
      <c r="C435" s="1152"/>
      <c r="D435" s="1173"/>
      <c r="E435" s="1128"/>
      <c r="F435" s="1148"/>
      <c r="G435" s="317" t="s">
        <v>15</v>
      </c>
      <c r="H435" s="316">
        <f t="shared" si="97"/>
        <v>4800000</v>
      </c>
      <c r="I435" s="315">
        <f t="shared" si="98"/>
        <v>4800000</v>
      </c>
      <c r="J435" s="315">
        <f>J433+J434</f>
        <v>4800000</v>
      </c>
      <c r="K435" s="315">
        <f>K433+K434</f>
        <v>0</v>
      </c>
      <c r="L435" s="315">
        <f t="shared" si="99"/>
        <v>0</v>
      </c>
      <c r="M435" s="315">
        <f>M433+M434</f>
        <v>0</v>
      </c>
      <c r="N435" s="315">
        <f>N433+N434</f>
        <v>0</v>
      </c>
    </row>
    <row r="436" spans="1:14" s="314" customFormat="1" ht="14.25" customHeight="1">
      <c r="A436" s="1142" t="s">
        <v>19</v>
      </c>
      <c r="B436" s="1143"/>
      <c r="C436" s="1130" t="s">
        <v>324</v>
      </c>
      <c r="D436" s="1131"/>
      <c r="E436" s="1162" t="s">
        <v>617</v>
      </c>
      <c r="F436" s="1163"/>
      <c r="G436" s="317" t="s">
        <v>13</v>
      </c>
      <c r="H436" s="316">
        <f t="shared" si="97"/>
        <v>0</v>
      </c>
      <c r="I436" s="315">
        <f t="shared" si="98"/>
        <v>0</v>
      </c>
      <c r="J436" s="315">
        <v>0</v>
      </c>
      <c r="K436" s="315">
        <v>0</v>
      </c>
      <c r="L436" s="315">
        <f t="shared" si="99"/>
        <v>0</v>
      </c>
      <c r="M436" s="315">
        <v>0</v>
      </c>
      <c r="N436" s="315">
        <v>0</v>
      </c>
    </row>
    <row r="437" spans="1:14" s="314" customFormat="1" ht="14.25" customHeight="1">
      <c r="A437" s="1122"/>
      <c r="B437" s="1149"/>
      <c r="C437" s="1130"/>
      <c r="D437" s="1149"/>
      <c r="E437" s="1164"/>
      <c r="F437" s="1165"/>
      <c r="G437" s="317" t="s">
        <v>14</v>
      </c>
      <c r="H437" s="316">
        <f t="shared" si="97"/>
        <v>6014</v>
      </c>
      <c r="I437" s="315">
        <f t="shared" si="98"/>
        <v>6014</v>
      </c>
      <c r="J437" s="315">
        <v>6014</v>
      </c>
      <c r="K437" s="315">
        <v>0</v>
      </c>
      <c r="L437" s="315">
        <f t="shared" si="99"/>
        <v>0</v>
      </c>
      <c r="M437" s="315">
        <v>0</v>
      </c>
      <c r="N437" s="315">
        <v>0</v>
      </c>
    </row>
    <row r="438" spans="1:14" s="314" customFormat="1" ht="14.25" customHeight="1">
      <c r="A438" s="1122"/>
      <c r="B438" s="1149"/>
      <c r="C438" s="1130"/>
      <c r="D438" s="1149"/>
      <c r="E438" s="1166"/>
      <c r="F438" s="1167"/>
      <c r="G438" s="317" t="s">
        <v>15</v>
      </c>
      <c r="H438" s="316">
        <f t="shared" si="97"/>
        <v>6014</v>
      </c>
      <c r="I438" s="315">
        <f t="shared" si="98"/>
        <v>6014</v>
      </c>
      <c r="J438" s="315">
        <f>J436+J437</f>
        <v>6014</v>
      </c>
      <c r="K438" s="315">
        <f>K436+K437</f>
        <v>0</v>
      </c>
      <c r="L438" s="315">
        <f t="shared" si="99"/>
        <v>0</v>
      </c>
      <c r="M438" s="315">
        <f>M436+M437</f>
        <v>0</v>
      </c>
      <c r="N438" s="315">
        <f>N436+N437</f>
        <v>0</v>
      </c>
    </row>
    <row r="439" spans="1:14" s="314" customFormat="1" ht="15" hidden="1" customHeight="1">
      <c r="A439" s="1122"/>
      <c r="B439" s="1123"/>
      <c r="C439" s="1144" t="s">
        <v>50</v>
      </c>
      <c r="D439" s="1145"/>
      <c r="E439" s="1124" t="s">
        <v>616</v>
      </c>
      <c r="F439" s="1146"/>
      <c r="G439" s="317" t="s">
        <v>13</v>
      </c>
      <c r="H439" s="316">
        <f t="shared" si="97"/>
        <v>50000</v>
      </c>
      <c r="I439" s="315">
        <f t="shared" si="98"/>
        <v>50000</v>
      </c>
      <c r="J439" s="315">
        <v>0</v>
      </c>
      <c r="K439" s="315">
        <v>50000</v>
      </c>
      <c r="L439" s="315">
        <f t="shared" si="99"/>
        <v>0</v>
      </c>
      <c r="M439" s="315">
        <v>0</v>
      </c>
      <c r="N439" s="315">
        <v>0</v>
      </c>
    </row>
    <row r="440" spans="1:14" s="314" customFormat="1" ht="15" hidden="1" customHeight="1">
      <c r="A440" s="1122"/>
      <c r="B440" s="1172"/>
      <c r="C440" s="1130"/>
      <c r="D440" s="1172"/>
      <c r="E440" s="1126"/>
      <c r="F440" s="1147"/>
      <c r="G440" s="317" t="s">
        <v>14</v>
      </c>
      <c r="H440" s="316">
        <f t="shared" si="97"/>
        <v>0</v>
      </c>
      <c r="I440" s="315">
        <f t="shared" si="98"/>
        <v>0</v>
      </c>
      <c r="J440" s="315">
        <v>0</v>
      </c>
      <c r="K440" s="315">
        <v>0</v>
      </c>
      <c r="L440" s="315">
        <f t="shared" si="99"/>
        <v>0</v>
      </c>
      <c r="M440" s="315">
        <v>0</v>
      </c>
      <c r="N440" s="315">
        <v>0</v>
      </c>
    </row>
    <row r="441" spans="1:14" s="314" customFormat="1" ht="15" hidden="1" customHeight="1">
      <c r="A441" s="1150"/>
      <c r="B441" s="1173"/>
      <c r="C441" s="1152"/>
      <c r="D441" s="1173"/>
      <c r="E441" s="1128"/>
      <c r="F441" s="1148"/>
      <c r="G441" s="317" t="s">
        <v>15</v>
      </c>
      <c r="H441" s="316">
        <f t="shared" si="97"/>
        <v>50000</v>
      </c>
      <c r="I441" s="315">
        <f t="shared" si="98"/>
        <v>50000</v>
      </c>
      <c r="J441" s="315">
        <f>J439+J440</f>
        <v>0</v>
      </c>
      <c r="K441" s="315">
        <f>K439+K440</f>
        <v>50000</v>
      </c>
      <c r="L441" s="315">
        <f t="shared" si="99"/>
        <v>0</v>
      </c>
      <c r="M441" s="315">
        <f>M439+M440</f>
        <v>0</v>
      </c>
      <c r="N441" s="315">
        <f>N439+N440</f>
        <v>0</v>
      </c>
    </row>
    <row r="442" spans="1:14" s="298" customFormat="1" ht="15" hidden="1" customHeight="1">
      <c r="A442" s="1168" t="s">
        <v>67</v>
      </c>
      <c r="B442" s="1169"/>
      <c r="C442" s="1170" t="s">
        <v>112</v>
      </c>
      <c r="D442" s="1171"/>
      <c r="E442" s="1124" t="s">
        <v>615</v>
      </c>
      <c r="F442" s="1146"/>
      <c r="G442" s="317" t="s">
        <v>13</v>
      </c>
      <c r="H442" s="316">
        <f t="shared" si="97"/>
        <v>150000</v>
      </c>
      <c r="I442" s="315">
        <f t="shared" si="98"/>
        <v>0</v>
      </c>
      <c r="J442" s="315">
        <v>0</v>
      </c>
      <c r="K442" s="315">
        <v>0</v>
      </c>
      <c r="L442" s="315">
        <f t="shared" si="99"/>
        <v>150000</v>
      </c>
      <c r="M442" s="315">
        <v>0</v>
      </c>
      <c r="N442" s="315">
        <v>150000</v>
      </c>
    </row>
    <row r="443" spans="1:14" s="298" customFormat="1" ht="15" hidden="1" customHeight="1">
      <c r="A443" s="1132"/>
      <c r="B443" s="1172"/>
      <c r="C443" s="1134"/>
      <c r="D443" s="1172"/>
      <c r="E443" s="1126"/>
      <c r="F443" s="1147"/>
      <c r="G443" s="317" t="s">
        <v>14</v>
      </c>
      <c r="H443" s="316">
        <f t="shared" si="97"/>
        <v>0</v>
      </c>
      <c r="I443" s="315">
        <f t="shared" si="98"/>
        <v>0</v>
      </c>
      <c r="J443" s="315">
        <v>0</v>
      </c>
      <c r="K443" s="315">
        <v>0</v>
      </c>
      <c r="L443" s="315">
        <f t="shared" si="99"/>
        <v>0</v>
      </c>
      <c r="M443" s="315">
        <v>0</v>
      </c>
      <c r="N443" s="315">
        <v>0</v>
      </c>
    </row>
    <row r="444" spans="1:14" s="298" customFormat="1" ht="15" hidden="1" customHeight="1">
      <c r="A444" s="1181"/>
      <c r="B444" s="1173"/>
      <c r="C444" s="1180"/>
      <c r="D444" s="1173"/>
      <c r="E444" s="1128"/>
      <c r="F444" s="1148"/>
      <c r="G444" s="317" t="s">
        <v>15</v>
      </c>
      <c r="H444" s="316">
        <f t="shared" si="97"/>
        <v>150000</v>
      </c>
      <c r="I444" s="315">
        <f t="shared" si="98"/>
        <v>0</v>
      </c>
      <c r="J444" s="315">
        <f>J442+J443</f>
        <v>0</v>
      </c>
      <c r="K444" s="315">
        <f>K442+K443</f>
        <v>0</v>
      </c>
      <c r="L444" s="315">
        <f t="shared" si="99"/>
        <v>150000</v>
      </c>
      <c r="M444" s="315">
        <f>M442+M443</f>
        <v>0</v>
      </c>
      <c r="N444" s="315">
        <f>N442+N443</f>
        <v>150000</v>
      </c>
    </row>
    <row r="445" spans="1:14" s="298" customFormat="1" ht="14.25" customHeight="1">
      <c r="A445" s="1168" t="s">
        <v>69</v>
      </c>
      <c r="B445" s="1169"/>
      <c r="C445" s="1170" t="s">
        <v>71</v>
      </c>
      <c r="D445" s="1171"/>
      <c r="E445" s="1124" t="s">
        <v>328</v>
      </c>
      <c r="F445" s="1146"/>
      <c r="G445" s="317" t="s">
        <v>13</v>
      </c>
      <c r="H445" s="316">
        <f t="shared" si="97"/>
        <v>256491</v>
      </c>
      <c r="I445" s="315">
        <f t="shared" si="98"/>
        <v>256491</v>
      </c>
      <c r="J445" s="315">
        <v>256491</v>
      </c>
      <c r="K445" s="315">
        <v>0</v>
      </c>
      <c r="L445" s="315">
        <f t="shared" si="99"/>
        <v>0</v>
      </c>
      <c r="M445" s="315">
        <v>0</v>
      </c>
      <c r="N445" s="315">
        <v>0</v>
      </c>
    </row>
    <row r="446" spans="1:14" s="298" customFormat="1" ht="14.25" customHeight="1">
      <c r="A446" s="1132"/>
      <c r="B446" s="1172"/>
      <c r="C446" s="1134"/>
      <c r="D446" s="1172"/>
      <c r="E446" s="1126"/>
      <c r="F446" s="1147"/>
      <c r="G446" s="317" t="s">
        <v>14</v>
      </c>
      <c r="H446" s="316">
        <f t="shared" si="97"/>
        <v>459505</v>
      </c>
      <c r="I446" s="315">
        <f t="shared" si="98"/>
        <v>459505</v>
      </c>
      <c r="J446" s="315">
        <v>459505</v>
      </c>
      <c r="K446" s="315">
        <v>0</v>
      </c>
      <c r="L446" s="315">
        <f t="shared" si="99"/>
        <v>0</v>
      </c>
      <c r="M446" s="315">
        <v>0</v>
      </c>
      <c r="N446" s="315">
        <v>0</v>
      </c>
    </row>
    <row r="447" spans="1:14" s="298" customFormat="1" ht="14.25" customHeight="1">
      <c r="A447" s="1181"/>
      <c r="B447" s="1173"/>
      <c r="C447" s="1180"/>
      <c r="D447" s="1173"/>
      <c r="E447" s="1128"/>
      <c r="F447" s="1148"/>
      <c r="G447" s="317" t="s">
        <v>15</v>
      </c>
      <c r="H447" s="316">
        <f t="shared" si="97"/>
        <v>715996</v>
      </c>
      <c r="I447" s="315">
        <f t="shared" si="98"/>
        <v>715996</v>
      </c>
      <c r="J447" s="315">
        <f>J445+J446</f>
        <v>715996</v>
      </c>
      <c r="K447" s="315">
        <f>K445+K446</f>
        <v>0</v>
      </c>
      <c r="L447" s="315">
        <f t="shared" si="99"/>
        <v>0</v>
      </c>
      <c r="M447" s="315">
        <f>M445+M446</f>
        <v>0</v>
      </c>
      <c r="N447" s="315">
        <f>N445+N446</f>
        <v>0</v>
      </c>
    </row>
    <row r="448" spans="1:14" s="298" customFormat="1" ht="15" hidden="1" customHeight="1">
      <c r="A448" s="1168" t="s">
        <v>198</v>
      </c>
      <c r="B448" s="1169"/>
      <c r="C448" s="1170" t="s">
        <v>200</v>
      </c>
      <c r="D448" s="1171"/>
      <c r="E448" s="1124" t="s">
        <v>614</v>
      </c>
      <c r="F448" s="1146"/>
      <c r="G448" s="317" t="s">
        <v>13</v>
      </c>
      <c r="H448" s="316">
        <f t="shared" si="97"/>
        <v>200000</v>
      </c>
      <c r="I448" s="315">
        <f t="shared" si="98"/>
        <v>200000</v>
      </c>
      <c r="J448" s="315">
        <v>0</v>
      </c>
      <c r="K448" s="315">
        <v>200000</v>
      </c>
      <c r="L448" s="315">
        <f t="shared" si="99"/>
        <v>0</v>
      </c>
      <c r="M448" s="315">
        <v>0</v>
      </c>
      <c r="N448" s="315">
        <v>0</v>
      </c>
    </row>
    <row r="449" spans="1:14" s="298" customFormat="1" ht="15" hidden="1" customHeight="1">
      <c r="A449" s="1132"/>
      <c r="B449" s="1172"/>
      <c r="C449" s="1134"/>
      <c r="D449" s="1172"/>
      <c r="E449" s="1126"/>
      <c r="F449" s="1147"/>
      <c r="G449" s="317" t="s">
        <v>14</v>
      </c>
      <c r="H449" s="316">
        <f t="shared" si="97"/>
        <v>0</v>
      </c>
      <c r="I449" s="315">
        <f t="shared" si="98"/>
        <v>0</v>
      </c>
      <c r="J449" s="315">
        <v>0</v>
      </c>
      <c r="K449" s="315">
        <v>0</v>
      </c>
      <c r="L449" s="315">
        <f t="shared" si="99"/>
        <v>0</v>
      </c>
      <c r="M449" s="315">
        <v>0</v>
      </c>
      <c r="N449" s="315">
        <v>0</v>
      </c>
    </row>
    <row r="450" spans="1:14" s="298" customFormat="1" ht="15" hidden="1" customHeight="1">
      <c r="A450" s="1132"/>
      <c r="B450" s="1172"/>
      <c r="C450" s="1180"/>
      <c r="D450" s="1173"/>
      <c r="E450" s="1128"/>
      <c r="F450" s="1148"/>
      <c r="G450" s="317" t="s">
        <v>15</v>
      </c>
      <c r="H450" s="316">
        <f t="shared" si="97"/>
        <v>200000</v>
      </c>
      <c r="I450" s="315">
        <f t="shared" si="98"/>
        <v>200000</v>
      </c>
      <c r="J450" s="315">
        <f>J448+J449</f>
        <v>0</v>
      </c>
      <c r="K450" s="315">
        <f>K448+K449</f>
        <v>200000</v>
      </c>
      <c r="L450" s="315">
        <f t="shared" si="99"/>
        <v>0</v>
      </c>
      <c r="M450" s="315">
        <f>M448+M449</f>
        <v>0</v>
      </c>
      <c r="N450" s="315">
        <f>N448+N449</f>
        <v>0</v>
      </c>
    </row>
    <row r="451" spans="1:14" s="314" customFormat="1" ht="15" hidden="1" customHeight="1">
      <c r="A451" s="1122"/>
      <c r="B451" s="1123"/>
      <c r="C451" s="1130" t="s">
        <v>202</v>
      </c>
      <c r="D451" s="1131"/>
      <c r="E451" s="1124" t="s">
        <v>613</v>
      </c>
      <c r="F451" s="1146"/>
      <c r="G451" s="317" t="s">
        <v>13</v>
      </c>
      <c r="H451" s="316">
        <f t="shared" si="97"/>
        <v>3450000</v>
      </c>
      <c r="I451" s="315">
        <f t="shared" si="98"/>
        <v>3450000</v>
      </c>
      <c r="J451" s="315">
        <v>3450000</v>
      </c>
      <c r="K451" s="315">
        <v>0</v>
      </c>
      <c r="L451" s="315">
        <f t="shared" si="99"/>
        <v>0</v>
      </c>
      <c r="M451" s="315">
        <v>0</v>
      </c>
      <c r="N451" s="315">
        <v>0</v>
      </c>
    </row>
    <row r="452" spans="1:14" s="314" customFormat="1" ht="15" hidden="1" customHeight="1">
      <c r="A452" s="1122"/>
      <c r="B452" s="1172"/>
      <c r="C452" s="1130"/>
      <c r="D452" s="1172"/>
      <c r="E452" s="1126"/>
      <c r="F452" s="1147"/>
      <c r="G452" s="317" t="s">
        <v>14</v>
      </c>
      <c r="H452" s="316">
        <f t="shared" si="97"/>
        <v>0</v>
      </c>
      <c r="I452" s="315">
        <f t="shared" si="98"/>
        <v>0</v>
      </c>
      <c r="J452" s="315">
        <v>0</v>
      </c>
      <c r="K452" s="315">
        <v>0</v>
      </c>
      <c r="L452" s="315">
        <f t="shared" si="99"/>
        <v>0</v>
      </c>
      <c r="M452" s="315">
        <v>0</v>
      </c>
      <c r="N452" s="315">
        <v>0</v>
      </c>
    </row>
    <row r="453" spans="1:14" s="314" customFormat="1" ht="15" hidden="1" customHeight="1">
      <c r="A453" s="1150"/>
      <c r="B453" s="1173"/>
      <c r="C453" s="1152"/>
      <c r="D453" s="1173"/>
      <c r="E453" s="1128"/>
      <c r="F453" s="1148"/>
      <c r="G453" s="317" t="s">
        <v>15</v>
      </c>
      <c r="H453" s="316">
        <f t="shared" si="97"/>
        <v>3450000</v>
      </c>
      <c r="I453" s="315">
        <f t="shared" si="98"/>
        <v>3450000</v>
      </c>
      <c r="J453" s="315">
        <f>J451+J452</f>
        <v>3450000</v>
      </c>
      <c r="K453" s="315">
        <f>K451+K452</f>
        <v>0</v>
      </c>
      <c r="L453" s="315">
        <f t="shared" si="99"/>
        <v>0</v>
      </c>
      <c r="M453" s="315">
        <f>M451+M452</f>
        <v>0</v>
      </c>
      <c r="N453" s="315">
        <f>N451+N452</f>
        <v>0</v>
      </c>
    </row>
    <row r="454" spans="1:14" s="298" customFormat="1" ht="15" hidden="1" customHeight="1">
      <c r="A454" s="1168" t="s">
        <v>28</v>
      </c>
      <c r="B454" s="1169"/>
      <c r="C454" s="1170" t="s">
        <v>125</v>
      </c>
      <c r="D454" s="1171"/>
      <c r="E454" s="1124" t="s">
        <v>612</v>
      </c>
      <c r="F454" s="1146"/>
      <c r="G454" s="317" t="s">
        <v>13</v>
      </c>
      <c r="H454" s="316">
        <f t="shared" si="97"/>
        <v>135000</v>
      </c>
      <c r="I454" s="315">
        <f t="shared" si="98"/>
        <v>0</v>
      </c>
      <c r="J454" s="315">
        <v>0</v>
      </c>
      <c r="K454" s="315">
        <v>0</v>
      </c>
      <c r="L454" s="315">
        <f t="shared" si="99"/>
        <v>135000</v>
      </c>
      <c r="M454" s="315">
        <v>0</v>
      </c>
      <c r="N454" s="315">
        <v>135000</v>
      </c>
    </row>
    <row r="455" spans="1:14" s="298" customFormat="1" ht="15" hidden="1" customHeight="1">
      <c r="A455" s="1132"/>
      <c r="B455" s="1172"/>
      <c r="C455" s="1134"/>
      <c r="D455" s="1172"/>
      <c r="E455" s="1126"/>
      <c r="F455" s="1147"/>
      <c r="G455" s="317" t="s">
        <v>14</v>
      </c>
      <c r="H455" s="316">
        <f t="shared" si="97"/>
        <v>0</v>
      </c>
      <c r="I455" s="315">
        <f t="shared" si="98"/>
        <v>0</v>
      </c>
      <c r="J455" s="315">
        <v>0</v>
      </c>
      <c r="K455" s="315">
        <v>0</v>
      </c>
      <c r="L455" s="315">
        <f t="shared" si="99"/>
        <v>0</v>
      </c>
      <c r="M455" s="315">
        <v>0</v>
      </c>
      <c r="N455" s="315">
        <v>0</v>
      </c>
    </row>
    <row r="456" spans="1:14" s="298" customFormat="1" ht="15" hidden="1" customHeight="1">
      <c r="A456" s="1132"/>
      <c r="B456" s="1172"/>
      <c r="C456" s="1134"/>
      <c r="D456" s="1172"/>
      <c r="E456" s="1128"/>
      <c r="F456" s="1148"/>
      <c r="G456" s="317" t="s">
        <v>15</v>
      </c>
      <c r="H456" s="316">
        <f t="shared" si="97"/>
        <v>135000</v>
      </c>
      <c r="I456" s="315">
        <f t="shared" si="98"/>
        <v>0</v>
      </c>
      <c r="J456" s="315">
        <f>J454+J455</f>
        <v>0</v>
      </c>
      <c r="K456" s="315">
        <f>K454+K455</f>
        <v>0</v>
      </c>
      <c r="L456" s="315">
        <f t="shared" si="99"/>
        <v>135000</v>
      </c>
      <c r="M456" s="315">
        <f>M454+M455</f>
        <v>0</v>
      </c>
      <c r="N456" s="315">
        <f>N454+N455</f>
        <v>135000</v>
      </c>
    </row>
    <row r="457" spans="1:14" s="314" customFormat="1" ht="15" hidden="1" customHeight="1">
      <c r="A457" s="1142" t="s">
        <v>34</v>
      </c>
      <c r="B457" s="1143"/>
      <c r="C457" s="1144" t="s">
        <v>221</v>
      </c>
      <c r="D457" s="1145"/>
      <c r="E457" s="1124" t="s">
        <v>611</v>
      </c>
      <c r="F457" s="1125"/>
      <c r="G457" s="322" t="s">
        <v>13</v>
      </c>
      <c r="H457" s="320">
        <f t="shared" si="97"/>
        <v>762360</v>
      </c>
      <c r="I457" s="319">
        <f t="shared" si="98"/>
        <v>762360</v>
      </c>
      <c r="J457" s="319">
        <v>762360</v>
      </c>
      <c r="K457" s="319">
        <v>0</v>
      </c>
      <c r="L457" s="319">
        <f t="shared" si="99"/>
        <v>0</v>
      </c>
      <c r="M457" s="319">
        <v>0</v>
      </c>
      <c r="N457" s="319">
        <v>0</v>
      </c>
    </row>
    <row r="458" spans="1:14" s="314" customFormat="1" ht="15" hidden="1" customHeight="1">
      <c r="A458" s="1122"/>
      <c r="B458" s="1123"/>
      <c r="C458" s="1130"/>
      <c r="D458" s="1131"/>
      <c r="E458" s="1126"/>
      <c r="F458" s="1127"/>
      <c r="G458" s="322" t="s">
        <v>14</v>
      </c>
      <c r="H458" s="320">
        <f t="shared" si="97"/>
        <v>0</v>
      </c>
      <c r="I458" s="319">
        <f t="shared" si="98"/>
        <v>0</v>
      </c>
      <c r="J458" s="319">
        <v>0</v>
      </c>
      <c r="K458" s="319">
        <v>0</v>
      </c>
      <c r="L458" s="319">
        <f t="shared" si="99"/>
        <v>0</v>
      </c>
      <c r="M458" s="319">
        <v>0</v>
      </c>
      <c r="N458" s="319">
        <v>0</v>
      </c>
    </row>
    <row r="459" spans="1:14" s="298" customFormat="1" ht="15" hidden="1" customHeight="1">
      <c r="A459" s="1132"/>
      <c r="B459" s="1133"/>
      <c r="C459" s="1134"/>
      <c r="D459" s="1135"/>
      <c r="E459" s="1128"/>
      <c r="F459" s="1129"/>
      <c r="G459" s="321" t="s">
        <v>15</v>
      </c>
      <c r="H459" s="320">
        <f t="shared" si="97"/>
        <v>762360</v>
      </c>
      <c r="I459" s="319">
        <f t="shared" si="98"/>
        <v>762360</v>
      </c>
      <c r="J459" s="319">
        <f>J457+J458</f>
        <v>762360</v>
      </c>
      <c r="K459" s="319">
        <f>K457+K458</f>
        <v>0</v>
      </c>
      <c r="L459" s="319">
        <f t="shared" si="99"/>
        <v>0</v>
      </c>
      <c r="M459" s="319">
        <f>M457+M458</f>
        <v>0</v>
      </c>
      <c r="N459" s="319">
        <f>N457+N458</f>
        <v>0</v>
      </c>
    </row>
    <row r="460" spans="1:14" s="314" customFormat="1" ht="15" hidden="1" customHeight="1">
      <c r="A460" s="1122"/>
      <c r="B460" s="1123"/>
      <c r="C460" s="1144" t="s">
        <v>349</v>
      </c>
      <c r="D460" s="1145"/>
      <c r="E460" s="1124" t="s">
        <v>610</v>
      </c>
      <c r="F460" s="1146"/>
      <c r="G460" s="317" t="s">
        <v>13</v>
      </c>
      <c r="H460" s="316">
        <f t="shared" si="97"/>
        <v>100000</v>
      </c>
      <c r="I460" s="315">
        <f t="shared" si="98"/>
        <v>100000</v>
      </c>
      <c r="J460" s="315">
        <v>0</v>
      </c>
      <c r="K460" s="315">
        <v>100000</v>
      </c>
      <c r="L460" s="315">
        <f t="shared" si="99"/>
        <v>0</v>
      </c>
      <c r="M460" s="315">
        <v>0</v>
      </c>
      <c r="N460" s="315">
        <v>0</v>
      </c>
    </row>
    <row r="461" spans="1:14" s="314" customFormat="1" ht="15" hidden="1" customHeight="1">
      <c r="A461" s="1122"/>
      <c r="B461" s="1149"/>
      <c r="C461" s="1130"/>
      <c r="D461" s="1149"/>
      <c r="E461" s="1126"/>
      <c r="F461" s="1147"/>
      <c r="G461" s="317" t="s">
        <v>14</v>
      </c>
      <c r="H461" s="316">
        <f t="shared" si="97"/>
        <v>0</v>
      </c>
      <c r="I461" s="315">
        <f t="shared" si="98"/>
        <v>0</v>
      </c>
      <c r="J461" s="315">
        <v>0</v>
      </c>
      <c r="K461" s="315">
        <v>0</v>
      </c>
      <c r="L461" s="315">
        <f t="shared" si="99"/>
        <v>0</v>
      </c>
      <c r="M461" s="315">
        <v>0</v>
      </c>
      <c r="N461" s="315">
        <v>0</v>
      </c>
    </row>
    <row r="462" spans="1:14" s="314" customFormat="1" ht="15" hidden="1" customHeight="1">
      <c r="A462" s="1122"/>
      <c r="B462" s="1149"/>
      <c r="C462" s="1130"/>
      <c r="D462" s="1149"/>
      <c r="E462" s="1128"/>
      <c r="F462" s="1148"/>
      <c r="G462" s="317" t="s">
        <v>15</v>
      </c>
      <c r="H462" s="316">
        <f t="shared" si="97"/>
        <v>100000</v>
      </c>
      <c r="I462" s="315">
        <f t="shared" si="98"/>
        <v>100000</v>
      </c>
      <c r="J462" s="315">
        <f>J460+J461</f>
        <v>0</v>
      </c>
      <c r="K462" s="315">
        <f>K460+K461</f>
        <v>100000</v>
      </c>
      <c r="L462" s="315">
        <f t="shared" si="99"/>
        <v>0</v>
      </c>
      <c r="M462" s="315">
        <f>M460+M461</f>
        <v>0</v>
      </c>
      <c r="N462" s="315">
        <f>N460+N461</f>
        <v>0</v>
      </c>
    </row>
    <row r="463" spans="1:14" s="314" customFormat="1" ht="15" hidden="1" customHeight="1">
      <c r="A463" s="1122"/>
      <c r="B463" s="1123"/>
      <c r="C463" s="1130"/>
      <c r="D463" s="1131"/>
      <c r="E463" s="1124" t="s">
        <v>609</v>
      </c>
      <c r="F463" s="1146"/>
      <c r="G463" s="317" t="s">
        <v>13</v>
      </c>
      <c r="H463" s="316">
        <f t="shared" si="97"/>
        <v>100000</v>
      </c>
      <c r="I463" s="315">
        <f t="shared" si="98"/>
        <v>100000</v>
      </c>
      <c r="J463" s="315">
        <v>0</v>
      </c>
      <c r="K463" s="315">
        <v>100000</v>
      </c>
      <c r="L463" s="315">
        <f t="shared" si="99"/>
        <v>0</v>
      </c>
      <c r="M463" s="315">
        <v>0</v>
      </c>
      <c r="N463" s="315">
        <v>0</v>
      </c>
    </row>
    <row r="464" spans="1:14" s="314" customFormat="1" ht="15" hidden="1" customHeight="1">
      <c r="A464" s="1122"/>
      <c r="B464" s="1149"/>
      <c r="C464" s="1130"/>
      <c r="D464" s="1149"/>
      <c r="E464" s="1126"/>
      <c r="F464" s="1147"/>
      <c r="G464" s="317" t="s">
        <v>14</v>
      </c>
      <c r="H464" s="316">
        <f t="shared" si="97"/>
        <v>0</v>
      </c>
      <c r="I464" s="315">
        <f t="shared" si="98"/>
        <v>0</v>
      </c>
      <c r="J464" s="315">
        <v>0</v>
      </c>
      <c r="K464" s="315">
        <v>0</v>
      </c>
      <c r="L464" s="315">
        <f t="shared" si="99"/>
        <v>0</v>
      </c>
      <c r="M464" s="315">
        <v>0</v>
      </c>
      <c r="N464" s="315">
        <v>0</v>
      </c>
    </row>
    <row r="465" spans="1:14" s="314" customFormat="1" ht="15" hidden="1" customHeight="1">
      <c r="A465" s="1122"/>
      <c r="B465" s="1149"/>
      <c r="C465" s="1130"/>
      <c r="D465" s="1149"/>
      <c r="E465" s="1128"/>
      <c r="F465" s="1148"/>
      <c r="G465" s="317" t="s">
        <v>15</v>
      </c>
      <c r="H465" s="316">
        <f t="shared" si="97"/>
        <v>100000</v>
      </c>
      <c r="I465" s="315">
        <f t="shared" si="98"/>
        <v>100000</v>
      </c>
      <c r="J465" s="315">
        <f>J463+J464</f>
        <v>0</v>
      </c>
      <c r="K465" s="315">
        <f>K463+K464</f>
        <v>100000</v>
      </c>
      <c r="L465" s="315">
        <f t="shared" si="99"/>
        <v>0</v>
      </c>
      <c r="M465" s="315">
        <f>M463+M464</f>
        <v>0</v>
      </c>
      <c r="N465" s="315">
        <f>N463+N464</f>
        <v>0</v>
      </c>
    </row>
    <row r="466" spans="1:14" s="314" customFormat="1" ht="15" hidden="1" customHeight="1">
      <c r="A466" s="1122"/>
      <c r="B466" s="1123"/>
      <c r="C466" s="1130"/>
      <c r="D466" s="1131"/>
      <c r="E466" s="1124" t="s">
        <v>608</v>
      </c>
      <c r="F466" s="1146"/>
      <c r="G466" s="317" t="s">
        <v>13</v>
      </c>
      <c r="H466" s="316">
        <f t="shared" si="97"/>
        <v>160000</v>
      </c>
      <c r="I466" s="315">
        <f t="shared" si="98"/>
        <v>160000</v>
      </c>
      <c r="J466" s="315">
        <v>0</v>
      </c>
      <c r="K466" s="315">
        <v>160000</v>
      </c>
      <c r="L466" s="315">
        <f t="shared" si="99"/>
        <v>0</v>
      </c>
      <c r="M466" s="315">
        <v>0</v>
      </c>
      <c r="N466" s="315">
        <v>0</v>
      </c>
    </row>
    <row r="467" spans="1:14" s="314" customFormat="1" ht="15" hidden="1" customHeight="1">
      <c r="A467" s="1122"/>
      <c r="B467" s="1172"/>
      <c r="C467" s="1130"/>
      <c r="D467" s="1172"/>
      <c r="E467" s="1126"/>
      <c r="F467" s="1147"/>
      <c r="G467" s="317" t="s">
        <v>14</v>
      </c>
      <c r="H467" s="316">
        <f t="shared" si="97"/>
        <v>0</v>
      </c>
      <c r="I467" s="315">
        <f t="shared" si="98"/>
        <v>0</v>
      </c>
      <c r="J467" s="315">
        <v>0</v>
      </c>
      <c r="K467" s="315">
        <v>0</v>
      </c>
      <c r="L467" s="315">
        <f t="shared" si="99"/>
        <v>0</v>
      </c>
      <c r="M467" s="315">
        <v>0</v>
      </c>
      <c r="N467" s="315">
        <v>0</v>
      </c>
    </row>
    <row r="468" spans="1:14" s="314" customFormat="1" ht="15" hidden="1" customHeight="1">
      <c r="A468" s="1122"/>
      <c r="B468" s="1172"/>
      <c r="C468" s="1130"/>
      <c r="D468" s="1172"/>
      <c r="E468" s="1128"/>
      <c r="F468" s="1148"/>
      <c r="G468" s="317" t="s">
        <v>15</v>
      </c>
      <c r="H468" s="316">
        <f t="shared" si="97"/>
        <v>160000</v>
      </c>
      <c r="I468" s="315">
        <f t="shared" si="98"/>
        <v>160000</v>
      </c>
      <c r="J468" s="315">
        <f>J466+J467</f>
        <v>0</v>
      </c>
      <c r="K468" s="315">
        <f>K466+K467</f>
        <v>160000</v>
      </c>
      <c r="L468" s="315">
        <f t="shared" si="99"/>
        <v>0</v>
      </c>
      <c r="M468" s="315">
        <f>M466+M467</f>
        <v>0</v>
      </c>
      <c r="N468" s="315">
        <f>N466+N467</f>
        <v>0</v>
      </c>
    </row>
    <row r="469" spans="1:14" s="314" customFormat="1" ht="15" hidden="1" customHeight="1">
      <c r="A469" s="1122"/>
      <c r="B469" s="1123"/>
      <c r="C469" s="1130"/>
      <c r="D469" s="1131"/>
      <c r="E469" s="1124" t="s">
        <v>607</v>
      </c>
      <c r="F469" s="1146"/>
      <c r="G469" s="317" t="s">
        <v>13</v>
      </c>
      <c r="H469" s="316">
        <f t="shared" si="97"/>
        <v>71340</v>
      </c>
      <c r="I469" s="315">
        <f t="shared" si="98"/>
        <v>71340</v>
      </c>
      <c r="J469" s="315">
        <v>71340</v>
      </c>
      <c r="K469" s="315">
        <v>0</v>
      </c>
      <c r="L469" s="315">
        <f t="shared" si="99"/>
        <v>0</v>
      </c>
      <c r="M469" s="315">
        <v>0</v>
      </c>
      <c r="N469" s="315">
        <v>0</v>
      </c>
    </row>
    <row r="470" spans="1:14" s="314" customFormat="1" ht="15" hidden="1" customHeight="1">
      <c r="A470" s="1122"/>
      <c r="B470" s="1172"/>
      <c r="C470" s="1130"/>
      <c r="D470" s="1172"/>
      <c r="E470" s="1126"/>
      <c r="F470" s="1147"/>
      <c r="G470" s="317" t="s">
        <v>14</v>
      </c>
      <c r="H470" s="316">
        <f t="shared" ref="H470:H533" si="100">I470+L470</f>
        <v>0</v>
      </c>
      <c r="I470" s="315">
        <f t="shared" ref="I470:I533" si="101">J470+K470</f>
        <v>0</v>
      </c>
      <c r="J470" s="315">
        <v>0</v>
      </c>
      <c r="K470" s="315">
        <v>0</v>
      </c>
      <c r="L470" s="315">
        <f t="shared" ref="L470:L533" si="102">M470+N470</f>
        <v>0</v>
      </c>
      <c r="M470" s="315">
        <v>0</v>
      </c>
      <c r="N470" s="315">
        <v>0</v>
      </c>
    </row>
    <row r="471" spans="1:14" s="314" customFormat="1" ht="15" hidden="1" customHeight="1">
      <c r="A471" s="1122"/>
      <c r="B471" s="1172"/>
      <c r="C471" s="1152"/>
      <c r="D471" s="1173"/>
      <c r="E471" s="1128"/>
      <c r="F471" s="1148"/>
      <c r="G471" s="317" t="s">
        <v>15</v>
      </c>
      <c r="H471" s="316">
        <f t="shared" si="100"/>
        <v>71340</v>
      </c>
      <c r="I471" s="315">
        <f t="shared" si="101"/>
        <v>71340</v>
      </c>
      <c r="J471" s="315">
        <f>J469+J470</f>
        <v>71340</v>
      </c>
      <c r="K471" s="315">
        <f>K469+K470</f>
        <v>0</v>
      </c>
      <c r="L471" s="315">
        <f t="shared" si="102"/>
        <v>0</v>
      </c>
      <c r="M471" s="315">
        <f>M469+M470</f>
        <v>0</v>
      </c>
      <c r="N471" s="315">
        <f>N469+N470</f>
        <v>0</v>
      </c>
    </row>
    <row r="472" spans="1:14" s="298" customFormat="1" ht="15" hidden="1" customHeight="1">
      <c r="A472" s="1132"/>
      <c r="B472" s="1133"/>
      <c r="C472" s="1170" t="s">
        <v>606</v>
      </c>
      <c r="D472" s="1171"/>
      <c r="E472" s="1124" t="s">
        <v>605</v>
      </c>
      <c r="F472" s="1146"/>
      <c r="G472" s="317" t="s">
        <v>13</v>
      </c>
      <c r="H472" s="316">
        <f t="shared" si="100"/>
        <v>200000</v>
      </c>
      <c r="I472" s="315">
        <f t="shared" si="101"/>
        <v>0</v>
      </c>
      <c r="J472" s="315">
        <v>0</v>
      </c>
      <c r="K472" s="315">
        <v>0</v>
      </c>
      <c r="L472" s="315">
        <f t="shared" si="102"/>
        <v>200000</v>
      </c>
      <c r="M472" s="315">
        <v>0</v>
      </c>
      <c r="N472" s="315">
        <v>200000</v>
      </c>
    </row>
    <row r="473" spans="1:14" s="298" customFormat="1" ht="15" hidden="1" customHeight="1">
      <c r="A473" s="1132"/>
      <c r="B473" s="1172"/>
      <c r="C473" s="1134"/>
      <c r="D473" s="1172"/>
      <c r="E473" s="1126"/>
      <c r="F473" s="1147"/>
      <c r="G473" s="317" t="s">
        <v>14</v>
      </c>
      <c r="H473" s="316">
        <f t="shared" si="100"/>
        <v>0</v>
      </c>
      <c r="I473" s="315">
        <f t="shared" si="101"/>
        <v>0</v>
      </c>
      <c r="J473" s="315">
        <v>0</v>
      </c>
      <c r="K473" s="315">
        <v>0</v>
      </c>
      <c r="L473" s="315">
        <f t="shared" si="102"/>
        <v>0</v>
      </c>
      <c r="M473" s="315">
        <v>0</v>
      </c>
      <c r="N473" s="315">
        <v>0</v>
      </c>
    </row>
    <row r="474" spans="1:14" s="298" customFormat="1" ht="15" hidden="1" customHeight="1">
      <c r="A474" s="1132"/>
      <c r="B474" s="1172"/>
      <c r="C474" s="1134"/>
      <c r="D474" s="1172"/>
      <c r="E474" s="1128"/>
      <c r="F474" s="1148"/>
      <c r="G474" s="317" t="s">
        <v>15</v>
      </c>
      <c r="H474" s="316">
        <f t="shared" si="100"/>
        <v>200000</v>
      </c>
      <c r="I474" s="315">
        <f t="shared" si="101"/>
        <v>0</v>
      </c>
      <c r="J474" s="315">
        <f>J472+J473</f>
        <v>0</v>
      </c>
      <c r="K474" s="315">
        <f>K472+K473</f>
        <v>0</v>
      </c>
      <c r="L474" s="315">
        <f t="shared" si="102"/>
        <v>200000</v>
      </c>
      <c r="M474" s="315">
        <f>M472+M473</f>
        <v>0</v>
      </c>
      <c r="N474" s="315">
        <f>N472+N473</f>
        <v>200000</v>
      </c>
    </row>
    <row r="475" spans="1:14" s="298" customFormat="1" ht="15" hidden="1" customHeight="1">
      <c r="A475" s="1132"/>
      <c r="B475" s="1133"/>
      <c r="C475" s="1134"/>
      <c r="D475" s="1135"/>
      <c r="E475" s="1124" t="s">
        <v>604</v>
      </c>
      <c r="F475" s="1146"/>
      <c r="G475" s="317" t="s">
        <v>13</v>
      </c>
      <c r="H475" s="316">
        <f t="shared" si="100"/>
        <v>800000</v>
      </c>
      <c r="I475" s="315">
        <f t="shared" si="101"/>
        <v>350000</v>
      </c>
      <c r="J475" s="315">
        <v>0</v>
      </c>
      <c r="K475" s="315">
        <v>350000</v>
      </c>
      <c r="L475" s="315">
        <f t="shared" si="102"/>
        <v>450000</v>
      </c>
      <c r="M475" s="315">
        <v>0</v>
      </c>
      <c r="N475" s="315">
        <v>450000</v>
      </c>
    </row>
    <row r="476" spans="1:14" s="298" customFormat="1" ht="15" hidden="1" customHeight="1">
      <c r="A476" s="1132"/>
      <c r="B476" s="1172"/>
      <c r="C476" s="1134"/>
      <c r="D476" s="1172"/>
      <c r="E476" s="1126"/>
      <c r="F476" s="1147"/>
      <c r="G476" s="317" t="s">
        <v>14</v>
      </c>
      <c r="H476" s="316">
        <f t="shared" si="100"/>
        <v>0</v>
      </c>
      <c r="I476" s="315">
        <f t="shared" si="101"/>
        <v>0</v>
      </c>
      <c r="J476" s="315">
        <v>0</v>
      </c>
      <c r="K476" s="315">
        <v>0</v>
      </c>
      <c r="L476" s="315">
        <f t="shared" si="102"/>
        <v>0</v>
      </c>
      <c r="M476" s="315">
        <v>0</v>
      </c>
      <c r="N476" s="315">
        <v>0</v>
      </c>
    </row>
    <row r="477" spans="1:14" s="298" customFormat="1" ht="15" hidden="1" customHeight="1">
      <c r="A477" s="1132"/>
      <c r="B477" s="1172"/>
      <c r="C477" s="1180"/>
      <c r="D477" s="1173"/>
      <c r="E477" s="1128"/>
      <c r="F477" s="1148"/>
      <c r="G477" s="317" t="s">
        <v>15</v>
      </c>
      <c r="H477" s="316">
        <f t="shared" si="100"/>
        <v>800000</v>
      </c>
      <c r="I477" s="315">
        <f t="shared" si="101"/>
        <v>350000</v>
      </c>
      <c r="J477" s="315">
        <f>J475+J476</f>
        <v>0</v>
      </c>
      <c r="K477" s="315">
        <f>K475+K476</f>
        <v>350000</v>
      </c>
      <c r="L477" s="315">
        <f t="shared" si="102"/>
        <v>450000</v>
      </c>
      <c r="M477" s="315">
        <f>M475+M476</f>
        <v>0</v>
      </c>
      <c r="N477" s="315">
        <f>N475+N476</f>
        <v>450000</v>
      </c>
    </row>
    <row r="478" spans="1:14" s="298" customFormat="1" ht="15" hidden="1" customHeight="1">
      <c r="A478" s="1132"/>
      <c r="B478" s="1133"/>
      <c r="C478" s="1170" t="s">
        <v>603</v>
      </c>
      <c r="D478" s="1171"/>
      <c r="E478" s="1124" t="s">
        <v>602</v>
      </c>
      <c r="F478" s="1146"/>
      <c r="G478" s="317" t="s">
        <v>13</v>
      </c>
      <c r="H478" s="316">
        <f t="shared" si="100"/>
        <v>350000</v>
      </c>
      <c r="I478" s="315">
        <f t="shared" si="101"/>
        <v>0</v>
      </c>
      <c r="J478" s="315">
        <v>0</v>
      </c>
      <c r="K478" s="315">
        <v>0</v>
      </c>
      <c r="L478" s="315">
        <f t="shared" si="102"/>
        <v>350000</v>
      </c>
      <c r="M478" s="315">
        <v>0</v>
      </c>
      <c r="N478" s="315">
        <v>350000</v>
      </c>
    </row>
    <row r="479" spans="1:14" s="298" customFormat="1" ht="15" hidden="1" customHeight="1">
      <c r="A479" s="1132"/>
      <c r="B479" s="1172"/>
      <c r="C479" s="1134"/>
      <c r="D479" s="1172"/>
      <c r="E479" s="1126"/>
      <c r="F479" s="1147"/>
      <c r="G479" s="317" t="s">
        <v>14</v>
      </c>
      <c r="H479" s="316">
        <f t="shared" si="100"/>
        <v>0</v>
      </c>
      <c r="I479" s="315">
        <f t="shared" si="101"/>
        <v>0</v>
      </c>
      <c r="J479" s="315">
        <v>0</v>
      </c>
      <c r="K479" s="315">
        <v>0</v>
      </c>
      <c r="L479" s="315">
        <f t="shared" si="102"/>
        <v>0</v>
      </c>
      <c r="M479" s="315">
        <v>0</v>
      </c>
      <c r="N479" s="315">
        <v>0</v>
      </c>
    </row>
    <row r="480" spans="1:14" s="298" customFormat="1" ht="15" hidden="1" customHeight="1">
      <c r="A480" s="1132"/>
      <c r="B480" s="1172"/>
      <c r="C480" s="1180"/>
      <c r="D480" s="1173"/>
      <c r="E480" s="1128"/>
      <c r="F480" s="1148"/>
      <c r="G480" s="317" t="s">
        <v>15</v>
      </c>
      <c r="H480" s="316">
        <f t="shared" si="100"/>
        <v>350000</v>
      </c>
      <c r="I480" s="315">
        <f t="shared" si="101"/>
        <v>0</v>
      </c>
      <c r="J480" s="315">
        <f>J478+J479</f>
        <v>0</v>
      </c>
      <c r="K480" s="315">
        <f>K478+K479</f>
        <v>0</v>
      </c>
      <c r="L480" s="315">
        <f t="shared" si="102"/>
        <v>350000</v>
      </c>
      <c r="M480" s="315">
        <f>M478+M479</f>
        <v>0</v>
      </c>
      <c r="N480" s="315">
        <f>N478+N479</f>
        <v>350000</v>
      </c>
    </row>
    <row r="481" spans="1:14" s="298" customFormat="1" ht="15" hidden="1" customHeight="1">
      <c r="A481" s="1132"/>
      <c r="B481" s="1133"/>
      <c r="C481" s="1170" t="s">
        <v>352</v>
      </c>
      <c r="D481" s="1171"/>
      <c r="E481" s="1124" t="s">
        <v>601</v>
      </c>
      <c r="F481" s="1146"/>
      <c r="G481" s="317" t="s">
        <v>13</v>
      </c>
      <c r="H481" s="316">
        <f t="shared" si="100"/>
        <v>30000</v>
      </c>
      <c r="I481" s="315">
        <f t="shared" si="101"/>
        <v>30000</v>
      </c>
      <c r="J481" s="315">
        <v>0</v>
      </c>
      <c r="K481" s="315">
        <v>30000</v>
      </c>
      <c r="L481" s="315">
        <f t="shared" si="102"/>
        <v>0</v>
      </c>
      <c r="M481" s="315">
        <v>0</v>
      </c>
      <c r="N481" s="315">
        <v>0</v>
      </c>
    </row>
    <row r="482" spans="1:14" s="298" customFormat="1" ht="15" hidden="1" customHeight="1">
      <c r="A482" s="1132"/>
      <c r="B482" s="1172"/>
      <c r="C482" s="1134"/>
      <c r="D482" s="1172"/>
      <c r="E482" s="1126"/>
      <c r="F482" s="1147"/>
      <c r="G482" s="317" t="s">
        <v>14</v>
      </c>
      <c r="H482" s="316">
        <f t="shared" si="100"/>
        <v>0</v>
      </c>
      <c r="I482" s="315">
        <f t="shared" si="101"/>
        <v>0</v>
      </c>
      <c r="J482" s="315">
        <v>0</v>
      </c>
      <c r="K482" s="315">
        <v>0</v>
      </c>
      <c r="L482" s="315">
        <f t="shared" si="102"/>
        <v>0</v>
      </c>
      <c r="M482" s="315">
        <v>0</v>
      </c>
      <c r="N482" s="315">
        <v>0</v>
      </c>
    </row>
    <row r="483" spans="1:14" s="298" customFormat="1" ht="15" hidden="1" customHeight="1">
      <c r="A483" s="1132"/>
      <c r="B483" s="1172"/>
      <c r="C483" s="1134"/>
      <c r="D483" s="1172"/>
      <c r="E483" s="1128"/>
      <c r="F483" s="1148"/>
      <c r="G483" s="317" t="s">
        <v>15</v>
      </c>
      <c r="H483" s="316">
        <f t="shared" si="100"/>
        <v>30000</v>
      </c>
      <c r="I483" s="315">
        <f t="shared" si="101"/>
        <v>30000</v>
      </c>
      <c r="J483" s="315">
        <f>J481+J482</f>
        <v>0</v>
      </c>
      <c r="K483" s="315">
        <f>K481+K482</f>
        <v>30000</v>
      </c>
      <c r="L483" s="315">
        <f t="shared" si="102"/>
        <v>0</v>
      </c>
      <c r="M483" s="315">
        <f>M481+M482</f>
        <v>0</v>
      </c>
      <c r="N483" s="315">
        <f>N481+N482</f>
        <v>0</v>
      </c>
    </row>
    <row r="484" spans="1:14" s="314" customFormat="1" ht="15" hidden="1" customHeight="1">
      <c r="A484" s="1122"/>
      <c r="B484" s="1123"/>
      <c r="C484" s="1130"/>
      <c r="D484" s="1131"/>
      <c r="E484" s="1124" t="s">
        <v>600</v>
      </c>
      <c r="F484" s="1146"/>
      <c r="G484" s="317" t="s">
        <v>13</v>
      </c>
      <c r="H484" s="316">
        <f t="shared" si="100"/>
        <v>70000</v>
      </c>
      <c r="I484" s="315">
        <f t="shared" si="101"/>
        <v>0</v>
      </c>
      <c r="J484" s="315">
        <v>0</v>
      </c>
      <c r="K484" s="315">
        <v>0</v>
      </c>
      <c r="L484" s="315">
        <f t="shared" si="102"/>
        <v>70000</v>
      </c>
      <c r="M484" s="315">
        <v>0</v>
      </c>
      <c r="N484" s="315">
        <v>70000</v>
      </c>
    </row>
    <row r="485" spans="1:14" s="314" customFormat="1" ht="15" hidden="1" customHeight="1">
      <c r="A485" s="1122"/>
      <c r="B485" s="1172"/>
      <c r="C485" s="1130"/>
      <c r="D485" s="1172"/>
      <c r="E485" s="1126"/>
      <c r="F485" s="1147"/>
      <c r="G485" s="317" t="s">
        <v>14</v>
      </c>
      <c r="H485" s="316">
        <f t="shared" si="100"/>
        <v>0</v>
      </c>
      <c r="I485" s="315">
        <f t="shared" si="101"/>
        <v>0</v>
      </c>
      <c r="J485" s="315">
        <v>0</v>
      </c>
      <c r="K485" s="315">
        <v>0</v>
      </c>
      <c r="L485" s="315">
        <f t="shared" si="102"/>
        <v>0</v>
      </c>
      <c r="M485" s="315">
        <v>0</v>
      </c>
      <c r="N485" s="315">
        <v>0</v>
      </c>
    </row>
    <row r="486" spans="1:14" s="314" customFormat="1" ht="15" hidden="1" customHeight="1">
      <c r="A486" s="1122"/>
      <c r="B486" s="1172"/>
      <c r="C486" s="1130"/>
      <c r="D486" s="1172"/>
      <c r="E486" s="1128"/>
      <c r="F486" s="1148"/>
      <c r="G486" s="317" t="s">
        <v>15</v>
      </c>
      <c r="H486" s="316">
        <f t="shared" si="100"/>
        <v>70000</v>
      </c>
      <c r="I486" s="315">
        <f t="shared" si="101"/>
        <v>0</v>
      </c>
      <c r="J486" s="315">
        <f>J484+J485</f>
        <v>0</v>
      </c>
      <c r="K486" s="315">
        <f>K484+K485</f>
        <v>0</v>
      </c>
      <c r="L486" s="315">
        <f t="shared" si="102"/>
        <v>70000</v>
      </c>
      <c r="M486" s="315">
        <f>M484+M485</f>
        <v>0</v>
      </c>
      <c r="N486" s="315">
        <f>N484+N485</f>
        <v>70000</v>
      </c>
    </row>
    <row r="487" spans="1:14" s="314" customFormat="1" ht="15" hidden="1" customHeight="1">
      <c r="A487" s="1122"/>
      <c r="B487" s="1123"/>
      <c r="C487" s="1130"/>
      <c r="D487" s="1131"/>
      <c r="E487" s="1124" t="s">
        <v>599</v>
      </c>
      <c r="F487" s="1146"/>
      <c r="G487" s="317" t="s">
        <v>13</v>
      </c>
      <c r="H487" s="316">
        <f t="shared" si="100"/>
        <v>260000</v>
      </c>
      <c r="I487" s="315">
        <f t="shared" si="101"/>
        <v>0</v>
      </c>
      <c r="J487" s="315">
        <v>0</v>
      </c>
      <c r="K487" s="315">
        <v>0</v>
      </c>
      <c r="L487" s="315">
        <f t="shared" si="102"/>
        <v>260000</v>
      </c>
      <c r="M487" s="315">
        <v>0</v>
      </c>
      <c r="N487" s="315">
        <v>260000</v>
      </c>
    </row>
    <row r="488" spans="1:14" s="314" customFormat="1" ht="15" hidden="1" customHeight="1">
      <c r="A488" s="1122"/>
      <c r="B488" s="1172"/>
      <c r="C488" s="1130"/>
      <c r="D488" s="1172"/>
      <c r="E488" s="1126"/>
      <c r="F488" s="1147"/>
      <c r="G488" s="317" t="s">
        <v>14</v>
      </c>
      <c r="H488" s="316">
        <f t="shared" si="100"/>
        <v>0</v>
      </c>
      <c r="I488" s="315">
        <f t="shared" si="101"/>
        <v>0</v>
      </c>
      <c r="J488" s="315">
        <v>0</v>
      </c>
      <c r="K488" s="315">
        <v>0</v>
      </c>
      <c r="L488" s="315">
        <f t="shared" si="102"/>
        <v>0</v>
      </c>
      <c r="M488" s="315">
        <v>0</v>
      </c>
      <c r="N488" s="315">
        <v>0</v>
      </c>
    </row>
    <row r="489" spans="1:14" s="314" customFormat="1" ht="15" hidden="1" customHeight="1">
      <c r="A489" s="1122"/>
      <c r="B489" s="1172"/>
      <c r="C489" s="1130"/>
      <c r="D489" s="1172"/>
      <c r="E489" s="1128"/>
      <c r="F489" s="1148"/>
      <c r="G489" s="317" t="s">
        <v>15</v>
      </c>
      <c r="H489" s="316">
        <f t="shared" si="100"/>
        <v>260000</v>
      </c>
      <c r="I489" s="315">
        <f t="shared" si="101"/>
        <v>0</v>
      </c>
      <c r="J489" s="315">
        <f>J487+J488</f>
        <v>0</v>
      </c>
      <c r="K489" s="315">
        <f>K487+K488</f>
        <v>0</v>
      </c>
      <c r="L489" s="315">
        <f t="shared" si="102"/>
        <v>260000</v>
      </c>
      <c r="M489" s="315">
        <f>M487+M488</f>
        <v>0</v>
      </c>
      <c r="N489" s="315">
        <f>N487+N488</f>
        <v>260000</v>
      </c>
    </row>
    <row r="490" spans="1:14" s="314" customFormat="1" ht="15" hidden="1" customHeight="1">
      <c r="A490" s="1122"/>
      <c r="B490" s="1123"/>
      <c r="C490" s="1130"/>
      <c r="D490" s="1131"/>
      <c r="E490" s="1174" t="s">
        <v>598</v>
      </c>
      <c r="F490" s="1182"/>
      <c r="G490" s="331" t="s">
        <v>13</v>
      </c>
      <c r="H490" s="316">
        <f t="shared" si="100"/>
        <v>100860</v>
      </c>
      <c r="I490" s="315">
        <f t="shared" si="101"/>
        <v>100860</v>
      </c>
      <c r="J490" s="315">
        <v>100860</v>
      </c>
      <c r="K490" s="315">
        <v>0</v>
      </c>
      <c r="L490" s="315">
        <f t="shared" si="102"/>
        <v>0</v>
      </c>
      <c r="M490" s="315">
        <v>0</v>
      </c>
      <c r="N490" s="315">
        <v>0</v>
      </c>
    </row>
    <row r="491" spans="1:14" s="314" customFormat="1" ht="15" hidden="1" customHeight="1">
      <c r="A491" s="1122"/>
      <c r="B491" s="1140"/>
      <c r="C491" s="1130"/>
      <c r="D491" s="1140"/>
      <c r="E491" s="1136"/>
      <c r="F491" s="1137"/>
      <c r="G491" s="331" t="s">
        <v>14</v>
      </c>
      <c r="H491" s="316">
        <f t="shared" si="100"/>
        <v>0</v>
      </c>
      <c r="I491" s="315">
        <f t="shared" si="101"/>
        <v>0</v>
      </c>
      <c r="J491" s="315">
        <v>0</v>
      </c>
      <c r="K491" s="315">
        <v>0</v>
      </c>
      <c r="L491" s="315">
        <f t="shared" si="102"/>
        <v>0</v>
      </c>
      <c r="M491" s="315">
        <v>0</v>
      </c>
      <c r="N491" s="315">
        <v>0</v>
      </c>
    </row>
    <row r="492" spans="1:14" s="298" customFormat="1" ht="15" hidden="1" customHeight="1">
      <c r="A492" s="1132"/>
      <c r="B492" s="1141"/>
      <c r="C492" s="1134"/>
      <c r="D492" s="1141"/>
      <c r="E492" s="1138"/>
      <c r="F492" s="1139"/>
      <c r="G492" s="325" t="s">
        <v>15</v>
      </c>
      <c r="H492" s="316">
        <f t="shared" si="100"/>
        <v>100860</v>
      </c>
      <c r="I492" s="315">
        <f t="shared" si="101"/>
        <v>100860</v>
      </c>
      <c r="J492" s="315">
        <f>J490+J491</f>
        <v>100860</v>
      </c>
      <c r="K492" s="315">
        <f>K490+K491</f>
        <v>0</v>
      </c>
      <c r="L492" s="315">
        <f t="shared" si="102"/>
        <v>0</v>
      </c>
      <c r="M492" s="315">
        <f>M490+M491</f>
        <v>0</v>
      </c>
      <c r="N492" s="315">
        <f>N490+N491</f>
        <v>0</v>
      </c>
    </row>
    <row r="493" spans="1:14" s="314" customFormat="1" ht="15" hidden="1" customHeight="1">
      <c r="A493" s="1122"/>
      <c r="B493" s="1123"/>
      <c r="C493" s="1130"/>
      <c r="D493" s="1131"/>
      <c r="E493" s="1174" t="s">
        <v>597</v>
      </c>
      <c r="F493" s="1182"/>
      <c r="G493" s="331" t="s">
        <v>13</v>
      </c>
      <c r="H493" s="316">
        <f t="shared" si="100"/>
        <v>190000</v>
      </c>
      <c r="I493" s="315">
        <f t="shared" si="101"/>
        <v>190000</v>
      </c>
      <c r="J493" s="315">
        <v>0</v>
      </c>
      <c r="K493" s="315">
        <v>190000</v>
      </c>
      <c r="L493" s="315">
        <f t="shared" si="102"/>
        <v>0</v>
      </c>
      <c r="M493" s="315">
        <v>0</v>
      </c>
      <c r="N493" s="315">
        <v>0</v>
      </c>
    </row>
    <row r="494" spans="1:14" s="314" customFormat="1" ht="15" hidden="1" customHeight="1">
      <c r="A494" s="1122"/>
      <c r="B494" s="1140"/>
      <c r="C494" s="1130"/>
      <c r="D494" s="1140"/>
      <c r="E494" s="1136"/>
      <c r="F494" s="1137"/>
      <c r="G494" s="331" t="s">
        <v>14</v>
      </c>
      <c r="H494" s="316">
        <f t="shared" si="100"/>
        <v>0</v>
      </c>
      <c r="I494" s="315">
        <f t="shared" si="101"/>
        <v>0</v>
      </c>
      <c r="J494" s="315">
        <v>0</v>
      </c>
      <c r="K494" s="315">
        <v>0</v>
      </c>
      <c r="L494" s="315">
        <f t="shared" si="102"/>
        <v>0</v>
      </c>
      <c r="M494" s="315">
        <v>0</v>
      </c>
      <c r="N494" s="315">
        <v>0</v>
      </c>
    </row>
    <row r="495" spans="1:14" s="298" customFormat="1" ht="15" hidden="1" customHeight="1">
      <c r="A495" s="1181"/>
      <c r="B495" s="1183"/>
      <c r="C495" s="1180"/>
      <c r="D495" s="1183"/>
      <c r="E495" s="1138"/>
      <c r="F495" s="1139"/>
      <c r="G495" s="325" t="s">
        <v>15</v>
      </c>
      <c r="H495" s="316">
        <f t="shared" si="100"/>
        <v>190000</v>
      </c>
      <c r="I495" s="315">
        <f t="shared" si="101"/>
        <v>190000</v>
      </c>
      <c r="J495" s="315">
        <f>J493+J494</f>
        <v>0</v>
      </c>
      <c r="K495" s="315">
        <f>K493+K494</f>
        <v>190000</v>
      </c>
      <c r="L495" s="315">
        <f t="shared" si="102"/>
        <v>0</v>
      </c>
      <c r="M495" s="315">
        <f>M493+M494</f>
        <v>0</v>
      </c>
      <c r="N495" s="315">
        <f>N493+N494</f>
        <v>0</v>
      </c>
    </row>
    <row r="496" spans="1:14" s="314" customFormat="1" ht="15" hidden="1" customHeight="1">
      <c r="A496" s="1142" t="s">
        <v>258</v>
      </c>
      <c r="B496" s="1143"/>
      <c r="C496" s="1144" t="s">
        <v>596</v>
      </c>
      <c r="D496" s="1145"/>
      <c r="E496" s="1124" t="s">
        <v>595</v>
      </c>
      <c r="F496" s="1146"/>
      <c r="G496" s="317" t="s">
        <v>13</v>
      </c>
      <c r="H496" s="316">
        <f t="shared" si="100"/>
        <v>30000</v>
      </c>
      <c r="I496" s="315">
        <f t="shared" si="101"/>
        <v>30000</v>
      </c>
      <c r="J496" s="315">
        <v>0</v>
      </c>
      <c r="K496" s="315">
        <v>30000</v>
      </c>
      <c r="L496" s="315">
        <f t="shared" si="102"/>
        <v>0</v>
      </c>
      <c r="M496" s="315">
        <v>0</v>
      </c>
      <c r="N496" s="315">
        <v>0</v>
      </c>
    </row>
    <row r="497" spans="1:14" s="314" customFormat="1" ht="15" hidden="1" customHeight="1">
      <c r="A497" s="1122"/>
      <c r="B497" s="1172"/>
      <c r="C497" s="1130"/>
      <c r="D497" s="1172"/>
      <c r="E497" s="1126"/>
      <c r="F497" s="1147"/>
      <c r="G497" s="317" t="s">
        <v>14</v>
      </c>
      <c r="H497" s="316">
        <f t="shared" si="100"/>
        <v>0</v>
      </c>
      <c r="I497" s="315">
        <f t="shared" si="101"/>
        <v>0</v>
      </c>
      <c r="J497" s="315">
        <v>0</v>
      </c>
      <c r="K497" s="315">
        <v>0</v>
      </c>
      <c r="L497" s="315">
        <f t="shared" si="102"/>
        <v>0</v>
      </c>
      <c r="M497" s="315">
        <v>0</v>
      </c>
      <c r="N497" s="315">
        <v>0</v>
      </c>
    </row>
    <row r="498" spans="1:14" s="314" customFormat="1" ht="15" hidden="1" customHeight="1">
      <c r="A498" s="1150"/>
      <c r="B498" s="1173"/>
      <c r="C498" s="1152"/>
      <c r="D498" s="1173"/>
      <c r="E498" s="1128"/>
      <c r="F498" s="1148"/>
      <c r="G498" s="317" t="s">
        <v>15</v>
      </c>
      <c r="H498" s="316">
        <f t="shared" si="100"/>
        <v>30000</v>
      </c>
      <c r="I498" s="315">
        <f t="shared" si="101"/>
        <v>30000</v>
      </c>
      <c r="J498" s="315">
        <f>J496+J497</f>
        <v>0</v>
      </c>
      <c r="K498" s="315">
        <f>K496+K497</f>
        <v>30000</v>
      </c>
      <c r="L498" s="315">
        <f t="shared" si="102"/>
        <v>0</v>
      </c>
      <c r="M498" s="315">
        <f>M496+M497</f>
        <v>0</v>
      </c>
      <c r="N498" s="315">
        <f>N496+N497</f>
        <v>0</v>
      </c>
    </row>
    <row r="499" spans="1:14" s="298" customFormat="1" ht="15" hidden="1" customHeight="1">
      <c r="A499" s="1168" t="s">
        <v>417</v>
      </c>
      <c r="B499" s="1169"/>
      <c r="C499" s="1170" t="s">
        <v>594</v>
      </c>
      <c r="D499" s="1171"/>
      <c r="E499" s="1124" t="s">
        <v>593</v>
      </c>
      <c r="F499" s="1146"/>
      <c r="G499" s="317" t="s">
        <v>13</v>
      </c>
      <c r="H499" s="316">
        <f t="shared" si="100"/>
        <v>444000</v>
      </c>
      <c r="I499" s="315">
        <f t="shared" si="101"/>
        <v>341223</v>
      </c>
      <c r="J499" s="315">
        <v>0</v>
      </c>
      <c r="K499" s="315">
        <v>341223</v>
      </c>
      <c r="L499" s="315">
        <f t="shared" si="102"/>
        <v>102777</v>
      </c>
      <c r="M499" s="315">
        <v>0</v>
      </c>
      <c r="N499" s="315">
        <v>102777</v>
      </c>
    </row>
    <row r="500" spans="1:14" s="298" customFormat="1" ht="15" hidden="1" customHeight="1">
      <c r="A500" s="1132"/>
      <c r="B500" s="1172"/>
      <c r="C500" s="1134"/>
      <c r="D500" s="1172"/>
      <c r="E500" s="1126"/>
      <c r="F500" s="1147"/>
      <c r="G500" s="317" t="s">
        <v>14</v>
      </c>
      <c r="H500" s="316">
        <f t="shared" si="100"/>
        <v>0</v>
      </c>
      <c r="I500" s="315">
        <f t="shared" si="101"/>
        <v>0</v>
      </c>
      <c r="J500" s="315">
        <v>0</v>
      </c>
      <c r="K500" s="315">
        <v>0</v>
      </c>
      <c r="L500" s="315">
        <f t="shared" si="102"/>
        <v>0</v>
      </c>
      <c r="M500" s="315">
        <v>0</v>
      </c>
      <c r="N500" s="315">
        <v>0</v>
      </c>
    </row>
    <row r="501" spans="1:14" s="298" customFormat="1" ht="15" hidden="1" customHeight="1">
      <c r="A501" s="1132"/>
      <c r="B501" s="1172"/>
      <c r="C501" s="1180"/>
      <c r="D501" s="1173"/>
      <c r="E501" s="1128"/>
      <c r="F501" s="1148"/>
      <c r="G501" s="317" t="s">
        <v>15</v>
      </c>
      <c r="H501" s="316">
        <f t="shared" si="100"/>
        <v>444000</v>
      </c>
      <c r="I501" s="315">
        <f t="shared" si="101"/>
        <v>341223</v>
      </c>
      <c r="J501" s="315">
        <f>J499+J500</f>
        <v>0</v>
      </c>
      <c r="K501" s="315">
        <f>K499+K500</f>
        <v>341223</v>
      </c>
      <c r="L501" s="315">
        <f t="shared" si="102"/>
        <v>102777</v>
      </c>
      <c r="M501" s="315">
        <f>M499+M500</f>
        <v>0</v>
      </c>
      <c r="N501" s="315">
        <f>N499+N500</f>
        <v>102777</v>
      </c>
    </row>
    <row r="502" spans="1:14" s="314" customFormat="1" ht="15" hidden="1" customHeight="1">
      <c r="A502" s="1122"/>
      <c r="B502" s="1123"/>
      <c r="C502" s="1144" t="s">
        <v>592</v>
      </c>
      <c r="D502" s="1145"/>
      <c r="E502" s="1124" t="s">
        <v>591</v>
      </c>
      <c r="F502" s="1146"/>
      <c r="G502" s="317" t="s">
        <v>13</v>
      </c>
      <c r="H502" s="316">
        <f t="shared" si="100"/>
        <v>100000</v>
      </c>
      <c r="I502" s="315">
        <f t="shared" si="101"/>
        <v>0</v>
      </c>
      <c r="J502" s="315">
        <v>0</v>
      </c>
      <c r="K502" s="315">
        <v>0</v>
      </c>
      <c r="L502" s="315">
        <f t="shared" si="102"/>
        <v>100000</v>
      </c>
      <c r="M502" s="315">
        <v>0</v>
      </c>
      <c r="N502" s="315">
        <v>100000</v>
      </c>
    </row>
    <row r="503" spans="1:14" s="314" customFormat="1" ht="15" hidden="1" customHeight="1">
      <c r="A503" s="1122"/>
      <c r="B503" s="1172"/>
      <c r="C503" s="1130"/>
      <c r="D503" s="1172"/>
      <c r="E503" s="1126"/>
      <c r="F503" s="1147"/>
      <c r="G503" s="317" t="s">
        <v>14</v>
      </c>
      <c r="H503" s="316">
        <f t="shared" si="100"/>
        <v>0</v>
      </c>
      <c r="I503" s="315">
        <f t="shared" si="101"/>
        <v>0</v>
      </c>
      <c r="J503" s="315">
        <v>0</v>
      </c>
      <c r="K503" s="315">
        <v>0</v>
      </c>
      <c r="L503" s="315">
        <f t="shared" si="102"/>
        <v>0</v>
      </c>
      <c r="M503" s="315">
        <v>0</v>
      </c>
      <c r="N503" s="315">
        <v>0</v>
      </c>
    </row>
    <row r="504" spans="1:14" s="314" customFormat="1" ht="15" hidden="1" customHeight="1">
      <c r="A504" s="1150"/>
      <c r="B504" s="1173"/>
      <c r="C504" s="1152"/>
      <c r="D504" s="1173"/>
      <c r="E504" s="1128"/>
      <c r="F504" s="1148"/>
      <c r="G504" s="317" t="s">
        <v>15</v>
      </c>
      <c r="H504" s="316">
        <f t="shared" si="100"/>
        <v>100000</v>
      </c>
      <c r="I504" s="315">
        <f t="shared" si="101"/>
        <v>0</v>
      </c>
      <c r="J504" s="315">
        <f>J502+J503</f>
        <v>0</v>
      </c>
      <c r="K504" s="315">
        <f>K502+K503</f>
        <v>0</v>
      </c>
      <c r="L504" s="315">
        <f t="shared" si="102"/>
        <v>100000</v>
      </c>
      <c r="M504" s="315">
        <f>M502+M503</f>
        <v>0</v>
      </c>
      <c r="N504" s="315">
        <f>N502+N503</f>
        <v>100000</v>
      </c>
    </row>
    <row r="505" spans="1:14" s="298" customFormat="1" ht="15" hidden="1" customHeight="1">
      <c r="A505" s="1168" t="s">
        <v>263</v>
      </c>
      <c r="B505" s="1169"/>
      <c r="C505" s="1170" t="s">
        <v>590</v>
      </c>
      <c r="D505" s="1171"/>
      <c r="E505" s="1124" t="s">
        <v>589</v>
      </c>
      <c r="F505" s="1146"/>
      <c r="G505" s="317" t="s">
        <v>13</v>
      </c>
      <c r="H505" s="316">
        <f t="shared" si="100"/>
        <v>207000</v>
      </c>
      <c r="I505" s="315">
        <f t="shared" si="101"/>
        <v>207000</v>
      </c>
      <c r="J505" s="315">
        <v>0</v>
      </c>
      <c r="K505" s="315">
        <v>207000</v>
      </c>
      <c r="L505" s="315">
        <f t="shared" si="102"/>
        <v>0</v>
      </c>
      <c r="M505" s="315">
        <v>0</v>
      </c>
      <c r="N505" s="315">
        <v>0</v>
      </c>
    </row>
    <row r="506" spans="1:14" s="298" customFormat="1" ht="15" hidden="1" customHeight="1">
      <c r="A506" s="1132"/>
      <c r="B506" s="1172"/>
      <c r="C506" s="1134"/>
      <c r="D506" s="1172"/>
      <c r="E506" s="1126"/>
      <c r="F506" s="1147"/>
      <c r="G506" s="317" t="s">
        <v>14</v>
      </c>
      <c r="H506" s="316">
        <f t="shared" si="100"/>
        <v>0</v>
      </c>
      <c r="I506" s="315">
        <f t="shared" si="101"/>
        <v>0</v>
      </c>
      <c r="J506" s="315">
        <v>0</v>
      </c>
      <c r="K506" s="315">
        <v>0</v>
      </c>
      <c r="L506" s="315">
        <f t="shared" si="102"/>
        <v>0</v>
      </c>
      <c r="M506" s="315">
        <v>0</v>
      </c>
      <c r="N506" s="315">
        <v>0</v>
      </c>
    </row>
    <row r="507" spans="1:14" s="298" customFormat="1" ht="15" hidden="1" customHeight="1">
      <c r="A507" s="1181"/>
      <c r="B507" s="1173"/>
      <c r="C507" s="1180"/>
      <c r="D507" s="1173"/>
      <c r="E507" s="1128"/>
      <c r="F507" s="1148"/>
      <c r="G507" s="317" t="s">
        <v>15</v>
      </c>
      <c r="H507" s="316">
        <f t="shared" si="100"/>
        <v>207000</v>
      </c>
      <c r="I507" s="315">
        <f t="shared" si="101"/>
        <v>207000</v>
      </c>
      <c r="J507" s="315">
        <f>J505+J506</f>
        <v>0</v>
      </c>
      <c r="K507" s="315">
        <f>K505+K506</f>
        <v>207000</v>
      </c>
      <c r="L507" s="315">
        <f t="shared" si="102"/>
        <v>0</v>
      </c>
      <c r="M507" s="315">
        <f>M505+M506</f>
        <v>0</v>
      </c>
      <c r="N507" s="315">
        <f>N505+N506</f>
        <v>0</v>
      </c>
    </row>
    <row r="508" spans="1:14" s="298" customFormat="1" ht="15" hidden="1" customHeight="1">
      <c r="A508" s="1168" t="s">
        <v>263</v>
      </c>
      <c r="B508" s="1169"/>
      <c r="C508" s="1170" t="s">
        <v>588</v>
      </c>
      <c r="D508" s="1171"/>
      <c r="E508" s="1124" t="s">
        <v>587</v>
      </c>
      <c r="F508" s="1146"/>
      <c r="G508" s="317" t="s">
        <v>13</v>
      </c>
      <c r="H508" s="316">
        <f t="shared" si="100"/>
        <v>80000</v>
      </c>
      <c r="I508" s="315">
        <f t="shared" si="101"/>
        <v>0</v>
      </c>
      <c r="J508" s="315">
        <v>0</v>
      </c>
      <c r="K508" s="315">
        <v>0</v>
      </c>
      <c r="L508" s="315">
        <f t="shared" si="102"/>
        <v>80000</v>
      </c>
      <c r="M508" s="315">
        <v>0</v>
      </c>
      <c r="N508" s="315">
        <v>80000</v>
      </c>
    </row>
    <row r="509" spans="1:14" s="298" customFormat="1" ht="15" hidden="1" customHeight="1">
      <c r="A509" s="1132"/>
      <c r="B509" s="1172"/>
      <c r="C509" s="1134"/>
      <c r="D509" s="1172"/>
      <c r="E509" s="1126"/>
      <c r="F509" s="1147"/>
      <c r="G509" s="317" t="s">
        <v>14</v>
      </c>
      <c r="H509" s="316">
        <f t="shared" si="100"/>
        <v>0</v>
      </c>
      <c r="I509" s="315">
        <f t="shared" si="101"/>
        <v>0</v>
      </c>
      <c r="J509" s="315">
        <v>0</v>
      </c>
      <c r="K509" s="315">
        <v>0</v>
      </c>
      <c r="L509" s="315">
        <f t="shared" si="102"/>
        <v>0</v>
      </c>
      <c r="M509" s="315">
        <v>0</v>
      </c>
      <c r="N509" s="315">
        <v>0</v>
      </c>
    </row>
    <row r="510" spans="1:14" s="298" customFormat="1" ht="15" hidden="1" customHeight="1">
      <c r="A510" s="1181"/>
      <c r="B510" s="1173"/>
      <c r="C510" s="1180"/>
      <c r="D510" s="1173"/>
      <c r="E510" s="1128"/>
      <c r="F510" s="1148"/>
      <c r="G510" s="317" t="s">
        <v>15</v>
      </c>
      <c r="H510" s="316">
        <f t="shared" si="100"/>
        <v>80000</v>
      </c>
      <c r="I510" s="315">
        <f t="shared" si="101"/>
        <v>0</v>
      </c>
      <c r="J510" s="315">
        <f>J508+J509</f>
        <v>0</v>
      </c>
      <c r="K510" s="315">
        <f>K508+K509</f>
        <v>0</v>
      </c>
      <c r="L510" s="315">
        <f t="shared" si="102"/>
        <v>80000</v>
      </c>
      <c r="M510" s="315">
        <f>M508+M509</f>
        <v>0</v>
      </c>
      <c r="N510" s="315">
        <f>N508+N509</f>
        <v>80000</v>
      </c>
    </row>
    <row r="511" spans="1:14" s="298" customFormat="1" ht="15" hidden="1" customHeight="1">
      <c r="A511" s="1168" t="s">
        <v>436</v>
      </c>
      <c r="B511" s="1169"/>
      <c r="C511" s="1170" t="s">
        <v>586</v>
      </c>
      <c r="D511" s="1171"/>
      <c r="E511" s="1124" t="s">
        <v>585</v>
      </c>
      <c r="F511" s="1146"/>
      <c r="G511" s="317" t="s">
        <v>13</v>
      </c>
      <c r="H511" s="316">
        <f t="shared" si="100"/>
        <v>430000</v>
      </c>
      <c r="I511" s="315">
        <f t="shared" si="101"/>
        <v>0</v>
      </c>
      <c r="J511" s="315">
        <v>0</v>
      </c>
      <c r="K511" s="315">
        <v>0</v>
      </c>
      <c r="L511" s="315">
        <f t="shared" si="102"/>
        <v>430000</v>
      </c>
      <c r="M511" s="315">
        <v>0</v>
      </c>
      <c r="N511" s="315">
        <v>430000</v>
      </c>
    </row>
    <row r="512" spans="1:14" s="298" customFormat="1" ht="15" hidden="1" customHeight="1">
      <c r="A512" s="1132"/>
      <c r="B512" s="1172"/>
      <c r="C512" s="1134"/>
      <c r="D512" s="1172"/>
      <c r="E512" s="1126"/>
      <c r="F512" s="1147"/>
      <c r="G512" s="317" t="s">
        <v>14</v>
      </c>
      <c r="H512" s="316">
        <f t="shared" si="100"/>
        <v>0</v>
      </c>
      <c r="I512" s="315">
        <f t="shared" si="101"/>
        <v>0</v>
      </c>
      <c r="J512" s="315">
        <v>0</v>
      </c>
      <c r="K512" s="315">
        <v>0</v>
      </c>
      <c r="L512" s="315">
        <f t="shared" si="102"/>
        <v>0</v>
      </c>
      <c r="M512" s="315">
        <v>0</v>
      </c>
      <c r="N512" s="315">
        <v>0</v>
      </c>
    </row>
    <row r="513" spans="1:14" s="298" customFormat="1" ht="15" hidden="1" customHeight="1">
      <c r="A513" s="1132"/>
      <c r="B513" s="1172"/>
      <c r="C513" s="1180"/>
      <c r="D513" s="1173"/>
      <c r="E513" s="1128"/>
      <c r="F513" s="1148"/>
      <c r="G513" s="317" t="s">
        <v>15</v>
      </c>
      <c r="H513" s="316">
        <f t="shared" si="100"/>
        <v>430000</v>
      </c>
      <c r="I513" s="315">
        <f t="shared" si="101"/>
        <v>0</v>
      </c>
      <c r="J513" s="315">
        <f>J511+J512</f>
        <v>0</v>
      </c>
      <c r="K513" s="315">
        <f>K511+K512</f>
        <v>0</v>
      </c>
      <c r="L513" s="315">
        <f t="shared" si="102"/>
        <v>430000</v>
      </c>
      <c r="M513" s="315">
        <f>M511+M512</f>
        <v>0</v>
      </c>
      <c r="N513" s="315">
        <f>N511+N512</f>
        <v>430000</v>
      </c>
    </row>
    <row r="514" spans="1:14" s="298" customFormat="1" ht="15" hidden="1" customHeight="1">
      <c r="A514" s="1132"/>
      <c r="B514" s="1133"/>
      <c r="C514" s="1170" t="s">
        <v>584</v>
      </c>
      <c r="D514" s="1171"/>
      <c r="E514" s="1124" t="s">
        <v>583</v>
      </c>
      <c r="F514" s="1146"/>
      <c r="G514" s="317" t="s">
        <v>13</v>
      </c>
      <c r="H514" s="316">
        <f t="shared" si="100"/>
        <v>100000</v>
      </c>
      <c r="I514" s="315">
        <f t="shared" si="101"/>
        <v>0</v>
      </c>
      <c r="J514" s="315">
        <v>0</v>
      </c>
      <c r="K514" s="315">
        <v>0</v>
      </c>
      <c r="L514" s="315">
        <f t="shared" si="102"/>
        <v>100000</v>
      </c>
      <c r="M514" s="315">
        <v>0</v>
      </c>
      <c r="N514" s="315">
        <v>100000</v>
      </c>
    </row>
    <row r="515" spans="1:14" s="298" customFormat="1" ht="15" hidden="1" customHeight="1">
      <c r="A515" s="1132"/>
      <c r="B515" s="1172"/>
      <c r="C515" s="1134"/>
      <c r="D515" s="1172"/>
      <c r="E515" s="1126"/>
      <c r="F515" s="1147"/>
      <c r="G515" s="317" t="s">
        <v>14</v>
      </c>
      <c r="H515" s="316">
        <f t="shared" si="100"/>
        <v>0</v>
      </c>
      <c r="I515" s="315">
        <f t="shared" si="101"/>
        <v>0</v>
      </c>
      <c r="J515" s="315">
        <v>0</v>
      </c>
      <c r="K515" s="315">
        <v>0</v>
      </c>
      <c r="L515" s="315">
        <f t="shared" si="102"/>
        <v>0</v>
      </c>
      <c r="M515" s="315">
        <v>0</v>
      </c>
      <c r="N515" s="315">
        <v>0</v>
      </c>
    </row>
    <row r="516" spans="1:14" s="298" customFormat="1" ht="15" hidden="1" customHeight="1">
      <c r="A516" s="1132"/>
      <c r="B516" s="1172"/>
      <c r="C516" s="1134"/>
      <c r="D516" s="1172"/>
      <c r="E516" s="1128"/>
      <c r="F516" s="1148"/>
      <c r="G516" s="317" t="s">
        <v>15</v>
      </c>
      <c r="H516" s="316">
        <f t="shared" si="100"/>
        <v>100000</v>
      </c>
      <c r="I516" s="315">
        <f t="shared" si="101"/>
        <v>0</v>
      </c>
      <c r="J516" s="315">
        <f>J514+J515</f>
        <v>0</v>
      </c>
      <c r="K516" s="315">
        <f>K514+K515</f>
        <v>0</v>
      </c>
      <c r="L516" s="315">
        <f t="shared" si="102"/>
        <v>100000</v>
      </c>
      <c r="M516" s="315">
        <f>M514+M515</f>
        <v>0</v>
      </c>
      <c r="N516" s="315">
        <f>N514+N515</f>
        <v>100000</v>
      </c>
    </row>
    <row r="517" spans="1:14" s="298" customFormat="1" ht="15" hidden="1" customHeight="1">
      <c r="A517" s="1132"/>
      <c r="B517" s="1133"/>
      <c r="C517" s="1134"/>
      <c r="D517" s="1135"/>
      <c r="E517" s="1124" t="s">
        <v>582</v>
      </c>
      <c r="F517" s="1146"/>
      <c r="G517" s="317" t="s">
        <v>13</v>
      </c>
      <c r="H517" s="316">
        <f t="shared" si="100"/>
        <v>250000</v>
      </c>
      <c r="I517" s="315">
        <f t="shared" si="101"/>
        <v>0</v>
      </c>
      <c r="J517" s="315">
        <v>0</v>
      </c>
      <c r="K517" s="315">
        <v>0</v>
      </c>
      <c r="L517" s="315">
        <f t="shared" si="102"/>
        <v>250000</v>
      </c>
      <c r="M517" s="315">
        <v>0</v>
      </c>
      <c r="N517" s="315">
        <v>250000</v>
      </c>
    </row>
    <row r="518" spans="1:14" s="298" customFormat="1" ht="15" hidden="1" customHeight="1">
      <c r="A518" s="1132"/>
      <c r="B518" s="1172"/>
      <c r="C518" s="1134"/>
      <c r="D518" s="1172"/>
      <c r="E518" s="1126"/>
      <c r="F518" s="1147"/>
      <c r="G518" s="317" t="s">
        <v>14</v>
      </c>
      <c r="H518" s="316">
        <f t="shared" si="100"/>
        <v>0</v>
      </c>
      <c r="I518" s="315">
        <f t="shared" si="101"/>
        <v>0</v>
      </c>
      <c r="J518" s="315">
        <v>0</v>
      </c>
      <c r="K518" s="315">
        <v>0</v>
      </c>
      <c r="L518" s="315">
        <f t="shared" si="102"/>
        <v>0</v>
      </c>
      <c r="M518" s="315">
        <v>0</v>
      </c>
      <c r="N518" s="315">
        <v>0</v>
      </c>
    </row>
    <row r="519" spans="1:14" s="298" customFormat="1" ht="15" hidden="1" customHeight="1">
      <c r="A519" s="1132"/>
      <c r="B519" s="1172"/>
      <c r="C519" s="1134"/>
      <c r="D519" s="1172"/>
      <c r="E519" s="1128"/>
      <c r="F519" s="1148"/>
      <c r="G519" s="317" t="s">
        <v>15</v>
      </c>
      <c r="H519" s="316">
        <f t="shared" si="100"/>
        <v>250000</v>
      </c>
      <c r="I519" s="315">
        <f t="shared" si="101"/>
        <v>0</v>
      </c>
      <c r="J519" s="315">
        <f>J517+J518</f>
        <v>0</v>
      </c>
      <c r="K519" s="315">
        <f>K517+K518</f>
        <v>0</v>
      </c>
      <c r="L519" s="315">
        <f t="shared" si="102"/>
        <v>250000</v>
      </c>
      <c r="M519" s="315">
        <f>M517+M518</f>
        <v>0</v>
      </c>
      <c r="N519" s="315">
        <f>N517+N518</f>
        <v>250000</v>
      </c>
    </row>
    <row r="520" spans="1:14" s="298" customFormat="1" ht="15" hidden="1" customHeight="1">
      <c r="A520" s="1132"/>
      <c r="B520" s="1133"/>
      <c r="C520" s="1134"/>
      <c r="D520" s="1135"/>
      <c r="E520" s="1124" t="s">
        <v>581</v>
      </c>
      <c r="F520" s="1146"/>
      <c r="G520" s="317" t="s">
        <v>13</v>
      </c>
      <c r="H520" s="316">
        <f t="shared" si="100"/>
        <v>150000</v>
      </c>
      <c r="I520" s="315">
        <f t="shared" si="101"/>
        <v>0</v>
      </c>
      <c r="J520" s="315">
        <v>0</v>
      </c>
      <c r="K520" s="315">
        <v>0</v>
      </c>
      <c r="L520" s="315">
        <f t="shared" si="102"/>
        <v>150000</v>
      </c>
      <c r="M520" s="315">
        <v>0</v>
      </c>
      <c r="N520" s="315">
        <v>150000</v>
      </c>
    </row>
    <row r="521" spans="1:14" s="298" customFormat="1" ht="15" hidden="1" customHeight="1">
      <c r="A521" s="1132"/>
      <c r="B521" s="1172"/>
      <c r="C521" s="1134"/>
      <c r="D521" s="1172"/>
      <c r="E521" s="1126"/>
      <c r="F521" s="1147"/>
      <c r="G521" s="317" t="s">
        <v>14</v>
      </c>
      <c r="H521" s="316">
        <f t="shared" si="100"/>
        <v>0</v>
      </c>
      <c r="I521" s="315">
        <f t="shared" si="101"/>
        <v>0</v>
      </c>
      <c r="J521" s="315">
        <v>0</v>
      </c>
      <c r="K521" s="315">
        <v>0</v>
      </c>
      <c r="L521" s="315">
        <f t="shared" si="102"/>
        <v>0</v>
      </c>
      <c r="M521" s="315">
        <v>0</v>
      </c>
      <c r="N521" s="315">
        <v>0</v>
      </c>
    </row>
    <row r="522" spans="1:14" s="298" customFormat="1" ht="15" hidden="1" customHeight="1">
      <c r="A522" s="1132"/>
      <c r="B522" s="1172"/>
      <c r="C522" s="1134"/>
      <c r="D522" s="1172"/>
      <c r="E522" s="1128"/>
      <c r="F522" s="1148"/>
      <c r="G522" s="317" t="s">
        <v>15</v>
      </c>
      <c r="H522" s="316">
        <f t="shared" si="100"/>
        <v>150000</v>
      </c>
      <c r="I522" s="315">
        <f t="shared" si="101"/>
        <v>0</v>
      </c>
      <c r="J522" s="315">
        <f>J520+J521</f>
        <v>0</v>
      </c>
      <c r="K522" s="315">
        <f>K520+K521</f>
        <v>0</v>
      </c>
      <c r="L522" s="315">
        <f t="shared" si="102"/>
        <v>150000</v>
      </c>
      <c r="M522" s="315">
        <f>M520+M521</f>
        <v>0</v>
      </c>
      <c r="N522" s="315">
        <f>N520+N521</f>
        <v>150000</v>
      </c>
    </row>
    <row r="523" spans="1:14" s="314" customFormat="1" ht="15" hidden="1" customHeight="1">
      <c r="A523" s="1122"/>
      <c r="B523" s="1123"/>
      <c r="C523" s="1130"/>
      <c r="D523" s="1131"/>
      <c r="E523" s="1124" t="s">
        <v>580</v>
      </c>
      <c r="F523" s="1146"/>
      <c r="G523" s="317" t="s">
        <v>13</v>
      </c>
      <c r="H523" s="316">
        <f t="shared" si="100"/>
        <v>280000</v>
      </c>
      <c r="I523" s="315">
        <f t="shared" si="101"/>
        <v>0</v>
      </c>
      <c r="J523" s="315">
        <v>0</v>
      </c>
      <c r="K523" s="315">
        <v>0</v>
      </c>
      <c r="L523" s="315">
        <f t="shared" si="102"/>
        <v>280000</v>
      </c>
      <c r="M523" s="315">
        <v>0</v>
      </c>
      <c r="N523" s="315">
        <v>280000</v>
      </c>
    </row>
    <row r="524" spans="1:14" s="314" customFormat="1" ht="15" hidden="1" customHeight="1">
      <c r="A524" s="1122"/>
      <c r="B524" s="1172"/>
      <c r="C524" s="1130"/>
      <c r="D524" s="1172"/>
      <c r="E524" s="1126"/>
      <c r="F524" s="1147"/>
      <c r="G524" s="317" t="s">
        <v>14</v>
      </c>
      <c r="H524" s="316">
        <f t="shared" si="100"/>
        <v>0</v>
      </c>
      <c r="I524" s="315">
        <f t="shared" si="101"/>
        <v>0</v>
      </c>
      <c r="J524" s="315">
        <v>0</v>
      </c>
      <c r="K524" s="315">
        <v>0</v>
      </c>
      <c r="L524" s="315">
        <f t="shared" si="102"/>
        <v>0</v>
      </c>
      <c r="M524" s="315">
        <v>0</v>
      </c>
      <c r="N524" s="315">
        <v>0</v>
      </c>
    </row>
    <row r="525" spans="1:14" s="314" customFormat="1" ht="15" hidden="1" customHeight="1">
      <c r="A525" s="1122"/>
      <c r="B525" s="1172"/>
      <c r="C525" s="1130"/>
      <c r="D525" s="1172"/>
      <c r="E525" s="1128"/>
      <c r="F525" s="1148"/>
      <c r="G525" s="317" t="s">
        <v>15</v>
      </c>
      <c r="H525" s="316">
        <f t="shared" si="100"/>
        <v>280000</v>
      </c>
      <c r="I525" s="315">
        <f t="shared" si="101"/>
        <v>0</v>
      </c>
      <c r="J525" s="315">
        <f>J523+J524</f>
        <v>0</v>
      </c>
      <c r="K525" s="315">
        <f>K523+K524</f>
        <v>0</v>
      </c>
      <c r="L525" s="315">
        <f t="shared" si="102"/>
        <v>280000</v>
      </c>
      <c r="M525" s="315">
        <f>M523+M524</f>
        <v>0</v>
      </c>
      <c r="N525" s="315">
        <f>N523+N524</f>
        <v>280000</v>
      </c>
    </row>
    <row r="526" spans="1:14" s="314" customFormat="1" ht="15" hidden="1" customHeight="1">
      <c r="A526" s="1122"/>
      <c r="B526" s="1123"/>
      <c r="C526" s="1130"/>
      <c r="D526" s="1131"/>
      <c r="E526" s="1124" t="s">
        <v>579</v>
      </c>
      <c r="F526" s="1146"/>
      <c r="G526" s="317" t="s">
        <v>13</v>
      </c>
      <c r="H526" s="316">
        <f t="shared" si="100"/>
        <v>230000</v>
      </c>
      <c r="I526" s="315">
        <f t="shared" si="101"/>
        <v>0</v>
      </c>
      <c r="J526" s="315">
        <v>0</v>
      </c>
      <c r="K526" s="315">
        <v>0</v>
      </c>
      <c r="L526" s="315">
        <f t="shared" si="102"/>
        <v>230000</v>
      </c>
      <c r="M526" s="315">
        <v>0</v>
      </c>
      <c r="N526" s="315">
        <v>230000</v>
      </c>
    </row>
    <row r="527" spans="1:14" s="314" customFormat="1" ht="15" hidden="1" customHeight="1">
      <c r="A527" s="1122"/>
      <c r="B527" s="1172"/>
      <c r="C527" s="1130"/>
      <c r="D527" s="1172"/>
      <c r="E527" s="1126"/>
      <c r="F527" s="1147"/>
      <c r="G527" s="317" t="s">
        <v>14</v>
      </c>
      <c r="H527" s="316">
        <f t="shared" si="100"/>
        <v>0</v>
      </c>
      <c r="I527" s="315">
        <f t="shared" si="101"/>
        <v>0</v>
      </c>
      <c r="J527" s="315">
        <v>0</v>
      </c>
      <c r="K527" s="315">
        <v>0</v>
      </c>
      <c r="L527" s="315">
        <f t="shared" si="102"/>
        <v>0</v>
      </c>
      <c r="M527" s="315">
        <v>0</v>
      </c>
      <c r="N527" s="315">
        <v>0</v>
      </c>
    </row>
    <row r="528" spans="1:14" s="314" customFormat="1" ht="15" hidden="1" customHeight="1">
      <c r="A528" s="1150"/>
      <c r="B528" s="1173"/>
      <c r="C528" s="1152"/>
      <c r="D528" s="1173"/>
      <c r="E528" s="1128"/>
      <c r="F528" s="1148"/>
      <c r="G528" s="317" t="s">
        <v>15</v>
      </c>
      <c r="H528" s="316">
        <f t="shared" si="100"/>
        <v>230000</v>
      </c>
      <c r="I528" s="315">
        <f t="shared" si="101"/>
        <v>0</v>
      </c>
      <c r="J528" s="315">
        <f>J526+J527</f>
        <v>0</v>
      </c>
      <c r="K528" s="315">
        <f>K526+K527</f>
        <v>0</v>
      </c>
      <c r="L528" s="315">
        <f t="shared" si="102"/>
        <v>230000</v>
      </c>
      <c r="M528" s="315">
        <f>M526+M527</f>
        <v>0</v>
      </c>
      <c r="N528" s="315">
        <f>N526+N527</f>
        <v>230000</v>
      </c>
    </row>
    <row r="529" spans="1:14" s="314" customFormat="1" ht="15" hidden="1" customHeight="1">
      <c r="A529" s="1142" t="s">
        <v>418</v>
      </c>
      <c r="B529" s="1143"/>
      <c r="C529" s="1144" t="s">
        <v>578</v>
      </c>
      <c r="D529" s="1145"/>
      <c r="E529" s="1124" t="s">
        <v>577</v>
      </c>
      <c r="F529" s="1146"/>
      <c r="G529" s="317" t="s">
        <v>13</v>
      </c>
      <c r="H529" s="316">
        <f t="shared" si="100"/>
        <v>100000</v>
      </c>
      <c r="I529" s="315">
        <f t="shared" si="101"/>
        <v>100000</v>
      </c>
      <c r="J529" s="315">
        <v>0</v>
      </c>
      <c r="K529" s="315">
        <v>100000</v>
      </c>
      <c r="L529" s="315">
        <f t="shared" si="102"/>
        <v>0</v>
      </c>
      <c r="M529" s="315">
        <v>0</v>
      </c>
      <c r="N529" s="315">
        <v>0</v>
      </c>
    </row>
    <row r="530" spans="1:14" s="314" customFormat="1" ht="15" hidden="1" customHeight="1">
      <c r="A530" s="1122"/>
      <c r="B530" s="1172"/>
      <c r="C530" s="1130"/>
      <c r="D530" s="1172"/>
      <c r="E530" s="1126"/>
      <c r="F530" s="1147"/>
      <c r="G530" s="317" t="s">
        <v>14</v>
      </c>
      <c r="H530" s="316">
        <f t="shared" si="100"/>
        <v>0</v>
      </c>
      <c r="I530" s="315">
        <f t="shared" si="101"/>
        <v>0</v>
      </c>
      <c r="J530" s="315">
        <v>0</v>
      </c>
      <c r="K530" s="315">
        <v>0</v>
      </c>
      <c r="L530" s="315">
        <f t="shared" si="102"/>
        <v>0</v>
      </c>
      <c r="M530" s="315">
        <v>0</v>
      </c>
      <c r="N530" s="315">
        <v>0</v>
      </c>
    </row>
    <row r="531" spans="1:14" s="314" customFormat="1" ht="15" hidden="1" customHeight="1">
      <c r="A531" s="1150"/>
      <c r="B531" s="1173"/>
      <c r="C531" s="1152"/>
      <c r="D531" s="1173"/>
      <c r="E531" s="1128"/>
      <c r="F531" s="1148"/>
      <c r="G531" s="317" t="s">
        <v>15</v>
      </c>
      <c r="H531" s="316">
        <f t="shared" si="100"/>
        <v>100000</v>
      </c>
      <c r="I531" s="315">
        <f t="shared" si="101"/>
        <v>100000</v>
      </c>
      <c r="J531" s="315">
        <f>J529+J530</f>
        <v>0</v>
      </c>
      <c r="K531" s="315">
        <f>K529+K530</f>
        <v>100000</v>
      </c>
      <c r="L531" s="315">
        <f t="shared" si="102"/>
        <v>0</v>
      </c>
      <c r="M531" s="315">
        <f>M529+M530</f>
        <v>0</v>
      </c>
      <c r="N531" s="315">
        <f>N529+N530</f>
        <v>0</v>
      </c>
    </row>
    <row r="532" spans="1:14" s="314" customFormat="1" ht="15" hidden="1" customHeight="1">
      <c r="A532" s="1142" t="s">
        <v>271</v>
      </c>
      <c r="B532" s="1143"/>
      <c r="C532" s="1144" t="s">
        <v>367</v>
      </c>
      <c r="D532" s="1145"/>
      <c r="E532" s="1124" t="s">
        <v>530</v>
      </c>
      <c r="F532" s="1146"/>
      <c r="G532" s="317" t="s">
        <v>13</v>
      </c>
      <c r="H532" s="316">
        <f t="shared" si="100"/>
        <v>240000</v>
      </c>
      <c r="I532" s="315">
        <f t="shared" si="101"/>
        <v>240000</v>
      </c>
      <c r="J532" s="315">
        <v>0</v>
      </c>
      <c r="K532" s="315">
        <v>240000</v>
      </c>
      <c r="L532" s="315">
        <f t="shared" si="102"/>
        <v>0</v>
      </c>
      <c r="M532" s="315">
        <v>0</v>
      </c>
      <c r="N532" s="315">
        <v>0</v>
      </c>
    </row>
    <row r="533" spans="1:14" s="314" customFormat="1" ht="15" hidden="1" customHeight="1">
      <c r="A533" s="1122"/>
      <c r="B533" s="1149"/>
      <c r="C533" s="1130"/>
      <c r="D533" s="1149"/>
      <c r="E533" s="1126"/>
      <c r="F533" s="1147"/>
      <c r="G533" s="317" t="s">
        <v>14</v>
      </c>
      <c r="H533" s="316">
        <f t="shared" si="100"/>
        <v>0</v>
      </c>
      <c r="I533" s="315">
        <f t="shared" si="101"/>
        <v>0</v>
      </c>
      <c r="J533" s="315">
        <v>0</v>
      </c>
      <c r="K533" s="315">
        <v>0</v>
      </c>
      <c r="L533" s="315">
        <f t="shared" si="102"/>
        <v>0</v>
      </c>
      <c r="M533" s="315">
        <v>0</v>
      </c>
      <c r="N533" s="315">
        <v>0</v>
      </c>
    </row>
    <row r="534" spans="1:14" s="314" customFormat="1" ht="15" hidden="1" customHeight="1">
      <c r="A534" s="1122"/>
      <c r="B534" s="1149"/>
      <c r="C534" s="1130"/>
      <c r="D534" s="1149"/>
      <c r="E534" s="1128"/>
      <c r="F534" s="1148"/>
      <c r="G534" s="317" t="s">
        <v>15</v>
      </c>
      <c r="H534" s="316">
        <f t="shared" ref="H534:H597" si="103">I534+L534</f>
        <v>240000</v>
      </c>
      <c r="I534" s="315">
        <f t="shared" ref="I534:I597" si="104">J534+K534</f>
        <v>240000</v>
      </c>
      <c r="J534" s="315">
        <f>J532+J533</f>
        <v>0</v>
      </c>
      <c r="K534" s="315">
        <f>K532+K533</f>
        <v>240000</v>
      </c>
      <c r="L534" s="315">
        <f t="shared" ref="L534:L597" si="105">M534+N534</f>
        <v>0</v>
      </c>
      <c r="M534" s="315">
        <f>M532+M533</f>
        <v>0</v>
      </c>
      <c r="N534" s="315">
        <f>N532+N533</f>
        <v>0</v>
      </c>
    </row>
    <row r="535" spans="1:14" s="314" customFormat="1" ht="15" hidden="1" customHeight="1">
      <c r="A535" s="1122"/>
      <c r="B535" s="1123"/>
      <c r="C535" s="1130"/>
      <c r="D535" s="1131"/>
      <c r="E535" s="1124" t="s">
        <v>529</v>
      </c>
      <c r="F535" s="1146"/>
      <c r="G535" s="317" t="s">
        <v>13</v>
      </c>
      <c r="H535" s="316">
        <f t="shared" si="103"/>
        <v>200000</v>
      </c>
      <c r="I535" s="315">
        <f t="shared" si="104"/>
        <v>200000</v>
      </c>
      <c r="J535" s="315">
        <v>0</v>
      </c>
      <c r="K535" s="315">
        <v>200000</v>
      </c>
      <c r="L535" s="315">
        <f t="shared" si="105"/>
        <v>0</v>
      </c>
      <c r="M535" s="315">
        <v>0</v>
      </c>
      <c r="N535" s="315">
        <v>0</v>
      </c>
    </row>
    <row r="536" spans="1:14" s="314" customFormat="1" ht="15" hidden="1" customHeight="1">
      <c r="A536" s="1122"/>
      <c r="B536" s="1149"/>
      <c r="C536" s="1130"/>
      <c r="D536" s="1149"/>
      <c r="E536" s="1126"/>
      <c r="F536" s="1147"/>
      <c r="G536" s="317" t="s">
        <v>14</v>
      </c>
      <c r="H536" s="316">
        <f t="shared" si="103"/>
        <v>0</v>
      </c>
      <c r="I536" s="315">
        <f t="shared" si="104"/>
        <v>0</v>
      </c>
      <c r="J536" s="315">
        <v>0</v>
      </c>
      <c r="K536" s="315">
        <v>0</v>
      </c>
      <c r="L536" s="315">
        <f t="shared" si="105"/>
        <v>0</v>
      </c>
      <c r="M536" s="315">
        <v>0</v>
      </c>
      <c r="N536" s="315">
        <v>0</v>
      </c>
    </row>
    <row r="537" spans="1:14" s="314" customFormat="1" ht="15" hidden="1" customHeight="1">
      <c r="A537" s="1122"/>
      <c r="B537" s="1149"/>
      <c r="C537" s="1130"/>
      <c r="D537" s="1149"/>
      <c r="E537" s="1128"/>
      <c r="F537" s="1148"/>
      <c r="G537" s="317" t="s">
        <v>15</v>
      </c>
      <c r="H537" s="316">
        <f t="shared" si="103"/>
        <v>200000</v>
      </c>
      <c r="I537" s="315">
        <f t="shared" si="104"/>
        <v>200000</v>
      </c>
      <c r="J537" s="315">
        <f>J535+J536</f>
        <v>0</v>
      </c>
      <c r="K537" s="315">
        <f>K535+K536</f>
        <v>200000</v>
      </c>
      <c r="L537" s="315">
        <f t="shared" si="105"/>
        <v>0</v>
      </c>
      <c r="M537" s="315">
        <f>M535+M536</f>
        <v>0</v>
      </c>
      <c r="N537" s="315">
        <f>N535+N536</f>
        <v>0</v>
      </c>
    </row>
    <row r="538" spans="1:14" s="314" customFormat="1" ht="14.25" customHeight="1">
      <c r="A538" s="1122" t="s">
        <v>271</v>
      </c>
      <c r="B538" s="1123"/>
      <c r="C538" s="1130" t="s">
        <v>367</v>
      </c>
      <c r="D538" s="1131"/>
      <c r="E538" s="1124" t="s">
        <v>576</v>
      </c>
      <c r="F538" s="1146"/>
      <c r="G538" s="317" t="s">
        <v>13</v>
      </c>
      <c r="H538" s="316">
        <f t="shared" si="103"/>
        <v>0</v>
      </c>
      <c r="I538" s="315">
        <f t="shared" si="104"/>
        <v>0</v>
      </c>
      <c r="J538" s="315">
        <v>0</v>
      </c>
      <c r="K538" s="315">
        <v>0</v>
      </c>
      <c r="L538" s="315">
        <f t="shared" si="105"/>
        <v>0</v>
      </c>
      <c r="M538" s="315">
        <v>0</v>
      </c>
      <c r="N538" s="315">
        <v>0</v>
      </c>
    </row>
    <row r="539" spans="1:14" s="314" customFormat="1" ht="14.25" customHeight="1">
      <c r="A539" s="1122"/>
      <c r="B539" s="1149"/>
      <c r="C539" s="1130"/>
      <c r="D539" s="1149"/>
      <c r="E539" s="1126"/>
      <c r="F539" s="1147"/>
      <c r="G539" s="317" t="s">
        <v>14</v>
      </c>
      <c r="H539" s="316">
        <f t="shared" si="103"/>
        <v>20000</v>
      </c>
      <c r="I539" s="315">
        <f t="shared" si="104"/>
        <v>20000</v>
      </c>
      <c r="J539" s="315">
        <v>20000</v>
      </c>
      <c r="K539" s="315">
        <v>0</v>
      </c>
      <c r="L539" s="315">
        <f t="shared" si="105"/>
        <v>0</v>
      </c>
      <c r="M539" s="315">
        <v>0</v>
      </c>
      <c r="N539" s="315">
        <v>0</v>
      </c>
    </row>
    <row r="540" spans="1:14" s="314" customFormat="1" ht="14.25" customHeight="1">
      <c r="A540" s="1122"/>
      <c r="B540" s="1149"/>
      <c r="C540" s="1130"/>
      <c r="D540" s="1149"/>
      <c r="E540" s="1128"/>
      <c r="F540" s="1148"/>
      <c r="G540" s="317" t="s">
        <v>15</v>
      </c>
      <c r="H540" s="316">
        <f t="shared" si="103"/>
        <v>20000</v>
      </c>
      <c r="I540" s="315">
        <f t="shared" si="104"/>
        <v>20000</v>
      </c>
      <c r="J540" s="315">
        <f>J538+J539</f>
        <v>20000</v>
      </c>
      <c r="K540" s="315">
        <f>K538+K539</f>
        <v>0</v>
      </c>
      <c r="L540" s="315">
        <f t="shared" si="105"/>
        <v>0</v>
      </c>
      <c r="M540" s="315">
        <f>M538+M539</f>
        <v>0</v>
      </c>
      <c r="N540" s="315">
        <f>N538+N539</f>
        <v>0</v>
      </c>
    </row>
    <row r="541" spans="1:14" s="314" customFormat="1" ht="14.85" hidden="1" customHeight="1">
      <c r="A541" s="1122"/>
      <c r="B541" s="1123"/>
      <c r="C541" s="1130"/>
      <c r="D541" s="1131"/>
      <c r="E541" s="1124" t="s">
        <v>564</v>
      </c>
      <c r="F541" s="1146"/>
      <c r="G541" s="317" t="s">
        <v>13</v>
      </c>
      <c r="H541" s="316">
        <f t="shared" si="103"/>
        <v>10000</v>
      </c>
      <c r="I541" s="315">
        <f t="shared" si="104"/>
        <v>10000</v>
      </c>
      <c r="J541" s="315">
        <v>0</v>
      </c>
      <c r="K541" s="315">
        <v>10000</v>
      </c>
      <c r="L541" s="315">
        <f t="shared" si="105"/>
        <v>0</v>
      </c>
      <c r="M541" s="315">
        <v>0</v>
      </c>
      <c r="N541" s="315">
        <v>0</v>
      </c>
    </row>
    <row r="542" spans="1:14" s="314" customFormat="1" ht="14.85" hidden="1" customHeight="1">
      <c r="A542" s="1122"/>
      <c r="B542" s="1149"/>
      <c r="C542" s="1130"/>
      <c r="D542" s="1149"/>
      <c r="E542" s="1126"/>
      <c r="F542" s="1147"/>
      <c r="G542" s="317" t="s">
        <v>14</v>
      </c>
      <c r="H542" s="316">
        <f t="shared" si="103"/>
        <v>0</v>
      </c>
      <c r="I542" s="315">
        <f t="shared" si="104"/>
        <v>0</v>
      </c>
      <c r="J542" s="315">
        <v>0</v>
      </c>
      <c r="K542" s="315">
        <v>0</v>
      </c>
      <c r="L542" s="315">
        <f t="shared" si="105"/>
        <v>0</v>
      </c>
      <c r="M542" s="315">
        <v>0</v>
      </c>
      <c r="N542" s="315">
        <v>0</v>
      </c>
    </row>
    <row r="543" spans="1:14" s="314" customFormat="1" ht="14.85" hidden="1" customHeight="1">
      <c r="A543" s="1122"/>
      <c r="B543" s="1149"/>
      <c r="C543" s="1130"/>
      <c r="D543" s="1149"/>
      <c r="E543" s="1128"/>
      <c r="F543" s="1148"/>
      <c r="G543" s="317" t="s">
        <v>15</v>
      </c>
      <c r="H543" s="316">
        <f t="shared" si="103"/>
        <v>10000</v>
      </c>
      <c r="I543" s="315">
        <f t="shared" si="104"/>
        <v>10000</v>
      </c>
      <c r="J543" s="315">
        <f>J541+J542</f>
        <v>0</v>
      </c>
      <c r="K543" s="315">
        <f>K541+K542</f>
        <v>10000</v>
      </c>
      <c r="L543" s="315">
        <f t="shared" si="105"/>
        <v>0</v>
      </c>
      <c r="M543" s="315">
        <f>M541+M542</f>
        <v>0</v>
      </c>
      <c r="N543" s="315">
        <f>N541+N542</f>
        <v>0</v>
      </c>
    </row>
    <row r="544" spans="1:14" s="314" customFormat="1" ht="14.85" hidden="1" customHeight="1">
      <c r="A544" s="1122"/>
      <c r="B544" s="1123"/>
      <c r="C544" s="1130"/>
      <c r="D544" s="1131"/>
      <c r="E544" s="1124" t="s">
        <v>550</v>
      </c>
      <c r="F544" s="1146"/>
      <c r="G544" s="317" t="s">
        <v>13</v>
      </c>
      <c r="H544" s="316">
        <f t="shared" si="103"/>
        <v>20000</v>
      </c>
      <c r="I544" s="315">
        <f t="shared" si="104"/>
        <v>20000</v>
      </c>
      <c r="J544" s="315">
        <v>0</v>
      </c>
      <c r="K544" s="315">
        <v>20000</v>
      </c>
      <c r="L544" s="315">
        <f t="shared" si="105"/>
        <v>0</v>
      </c>
      <c r="M544" s="315">
        <v>0</v>
      </c>
      <c r="N544" s="315">
        <v>0</v>
      </c>
    </row>
    <row r="545" spans="1:14" s="314" customFormat="1" ht="14.85" hidden="1" customHeight="1">
      <c r="A545" s="1122"/>
      <c r="B545" s="1149"/>
      <c r="C545" s="1130"/>
      <c r="D545" s="1149"/>
      <c r="E545" s="1126"/>
      <c r="F545" s="1147"/>
      <c r="G545" s="317" t="s">
        <v>14</v>
      </c>
      <c r="H545" s="316">
        <f t="shared" si="103"/>
        <v>0</v>
      </c>
      <c r="I545" s="315">
        <f t="shared" si="104"/>
        <v>0</v>
      </c>
      <c r="J545" s="315">
        <v>0</v>
      </c>
      <c r="K545" s="315">
        <v>0</v>
      </c>
      <c r="L545" s="315">
        <f t="shared" si="105"/>
        <v>0</v>
      </c>
      <c r="M545" s="315">
        <v>0</v>
      </c>
      <c r="N545" s="315">
        <v>0</v>
      </c>
    </row>
    <row r="546" spans="1:14" s="314" customFormat="1" ht="14.85" hidden="1" customHeight="1">
      <c r="A546" s="1122"/>
      <c r="B546" s="1149"/>
      <c r="C546" s="1152"/>
      <c r="D546" s="1151"/>
      <c r="E546" s="1128"/>
      <c r="F546" s="1148"/>
      <c r="G546" s="317" t="s">
        <v>15</v>
      </c>
      <c r="H546" s="316">
        <f t="shared" si="103"/>
        <v>20000</v>
      </c>
      <c r="I546" s="315">
        <f t="shared" si="104"/>
        <v>20000</v>
      </c>
      <c r="J546" s="315">
        <f>J544+J545</f>
        <v>0</v>
      </c>
      <c r="K546" s="315">
        <f>K544+K545</f>
        <v>20000</v>
      </c>
      <c r="L546" s="315">
        <f t="shared" si="105"/>
        <v>0</v>
      </c>
      <c r="M546" s="315">
        <f>M544+M545</f>
        <v>0</v>
      </c>
      <c r="N546" s="315">
        <f>N544+N545</f>
        <v>0</v>
      </c>
    </row>
    <row r="547" spans="1:14" s="314" customFormat="1" ht="14.85" hidden="1" customHeight="1">
      <c r="A547" s="1122"/>
      <c r="B547" s="1123"/>
      <c r="C547" s="1144" t="s">
        <v>272</v>
      </c>
      <c r="D547" s="1145"/>
      <c r="E547" s="1162" t="s">
        <v>575</v>
      </c>
      <c r="F547" s="1163"/>
      <c r="G547" s="317" t="s">
        <v>13</v>
      </c>
      <c r="H547" s="316">
        <f t="shared" si="103"/>
        <v>106000</v>
      </c>
      <c r="I547" s="315">
        <f t="shared" si="104"/>
        <v>106000</v>
      </c>
      <c r="J547" s="315">
        <v>106000</v>
      </c>
      <c r="K547" s="315">
        <v>0</v>
      </c>
      <c r="L547" s="315">
        <f t="shared" si="105"/>
        <v>0</v>
      </c>
      <c r="M547" s="315">
        <v>0</v>
      </c>
      <c r="N547" s="315">
        <v>0</v>
      </c>
    </row>
    <row r="548" spans="1:14" s="314" customFormat="1" ht="14.85" hidden="1" customHeight="1">
      <c r="A548" s="1122"/>
      <c r="B548" s="1149"/>
      <c r="C548" s="1130"/>
      <c r="D548" s="1149"/>
      <c r="E548" s="1164"/>
      <c r="F548" s="1165"/>
      <c r="G548" s="317" t="s">
        <v>14</v>
      </c>
      <c r="H548" s="316">
        <f t="shared" si="103"/>
        <v>0</v>
      </c>
      <c r="I548" s="315">
        <f t="shared" si="104"/>
        <v>0</v>
      </c>
      <c r="J548" s="315">
        <v>0</v>
      </c>
      <c r="K548" s="315">
        <v>0</v>
      </c>
      <c r="L548" s="315">
        <f t="shared" si="105"/>
        <v>0</v>
      </c>
      <c r="M548" s="315">
        <v>0</v>
      </c>
      <c r="N548" s="315">
        <v>0</v>
      </c>
    </row>
    <row r="549" spans="1:14" s="314" customFormat="1" ht="14.85" hidden="1" customHeight="1">
      <c r="A549" s="1122"/>
      <c r="B549" s="1149"/>
      <c r="C549" s="1130"/>
      <c r="D549" s="1149"/>
      <c r="E549" s="1166"/>
      <c r="F549" s="1167"/>
      <c r="G549" s="317" t="s">
        <v>15</v>
      </c>
      <c r="H549" s="316">
        <f t="shared" si="103"/>
        <v>106000</v>
      </c>
      <c r="I549" s="315">
        <f t="shared" si="104"/>
        <v>106000</v>
      </c>
      <c r="J549" s="315">
        <f>J547+J548</f>
        <v>106000</v>
      </c>
      <c r="K549" s="315">
        <f>K547+K548</f>
        <v>0</v>
      </c>
      <c r="L549" s="315">
        <f t="shared" si="105"/>
        <v>0</v>
      </c>
      <c r="M549" s="315">
        <f>M547+M548</f>
        <v>0</v>
      </c>
      <c r="N549" s="315">
        <f>N547+N548</f>
        <v>0</v>
      </c>
    </row>
    <row r="550" spans="1:14" s="314" customFormat="1" ht="14.85" hidden="1" customHeight="1">
      <c r="A550" s="1122"/>
      <c r="B550" s="1123"/>
      <c r="C550" s="1130"/>
      <c r="D550" s="1131"/>
      <c r="E550" s="1162" t="s">
        <v>574</v>
      </c>
      <c r="F550" s="1163"/>
      <c r="G550" s="317" t="s">
        <v>13</v>
      </c>
      <c r="H550" s="316">
        <f t="shared" si="103"/>
        <v>576000</v>
      </c>
      <c r="I550" s="315">
        <f t="shared" si="104"/>
        <v>576000</v>
      </c>
      <c r="J550" s="315">
        <v>576000</v>
      </c>
      <c r="K550" s="315">
        <v>0</v>
      </c>
      <c r="L550" s="315">
        <f t="shared" si="105"/>
        <v>0</v>
      </c>
      <c r="M550" s="315">
        <v>0</v>
      </c>
      <c r="N550" s="315">
        <v>0</v>
      </c>
    </row>
    <row r="551" spans="1:14" s="314" customFormat="1" ht="14.85" hidden="1" customHeight="1">
      <c r="A551" s="1122"/>
      <c r="B551" s="1149"/>
      <c r="C551" s="1130"/>
      <c r="D551" s="1149"/>
      <c r="E551" s="1164"/>
      <c r="F551" s="1165"/>
      <c r="G551" s="317" t="s">
        <v>14</v>
      </c>
      <c r="H551" s="316">
        <f t="shared" si="103"/>
        <v>0</v>
      </c>
      <c r="I551" s="315">
        <f t="shared" si="104"/>
        <v>0</v>
      </c>
      <c r="J551" s="315">
        <v>0</v>
      </c>
      <c r="K551" s="315">
        <v>0</v>
      </c>
      <c r="L551" s="315">
        <f t="shared" si="105"/>
        <v>0</v>
      </c>
      <c r="M551" s="315">
        <v>0</v>
      </c>
      <c r="N551" s="315">
        <v>0</v>
      </c>
    </row>
    <row r="552" spans="1:14" s="314" customFormat="1" ht="14.85" hidden="1" customHeight="1">
      <c r="A552" s="1122"/>
      <c r="B552" s="1149"/>
      <c r="C552" s="1130"/>
      <c r="D552" s="1149"/>
      <c r="E552" s="1166"/>
      <c r="F552" s="1167"/>
      <c r="G552" s="317" t="s">
        <v>15</v>
      </c>
      <c r="H552" s="316">
        <f t="shared" si="103"/>
        <v>576000</v>
      </c>
      <c r="I552" s="315">
        <f t="shared" si="104"/>
        <v>576000</v>
      </c>
      <c r="J552" s="315">
        <f>J550+J551</f>
        <v>576000</v>
      </c>
      <c r="K552" s="315">
        <f>K550+K551</f>
        <v>0</v>
      </c>
      <c r="L552" s="315">
        <f t="shared" si="105"/>
        <v>0</v>
      </c>
      <c r="M552" s="315">
        <f>M550+M551</f>
        <v>0</v>
      </c>
      <c r="N552" s="315">
        <f>N550+N551</f>
        <v>0</v>
      </c>
    </row>
    <row r="553" spans="1:14" s="314" customFormat="1" ht="14.85" hidden="1" customHeight="1">
      <c r="A553" s="1122"/>
      <c r="B553" s="1123"/>
      <c r="C553" s="1130"/>
      <c r="D553" s="1131"/>
      <c r="E553" s="1162" t="s">
        <v>573</v>
      </c>
      <c r="F553" s="1163"/>
      <c r="G553" s="317" t="s">
        <v>13</v>
      </c>
      <c r="H553" s="316">
        <f t="shared" si="103"/>
        <v>1722000</v>
      </c>
      <c r="I553" s="315">
        <f t="shared" si="104"/>
        <v>1722000</v>
      </c>
      <c r="J553" s="315">
        <v>1722000</v>
      </c>
      <c r="K553" s="315">
        <v>0</v>
      </c>
      <c r="L553" s="315">
        <f t="shared" si="105"/>
        <v>0</v>
      </c>
      <c r="M553" s="315">
        <v>0</v>
      </c>
      <c r="N553" s="315">
        <v>0</v>
      </c>
    </row>
    <row r="554" spans="1:14" s="314" customFormat="1" ht="14.85" hidden="1" customHeight="1">
      <c r="A554" s="1122"/>
      <c r="B554" s="1149"/>
      <c r="C554" s="1130"/>
      <c r="D554" s="1149"/>
      <c r="E554" s="1164"/>
      <c r="F554" s="1165"/>
      <c r="G554" s="317" t="s">
        <v>14</v>
      </c>
      <c r="H554" s="316">
        <f t="shared" si="103"/>
        <v>0</v>
      </c>
      <c r="I554" s="315">
        <f t="shared" si="104"/>
        <v>0</v>
      </c>
      <c r="J554" s="315">
        <v>0</v>
      </c>
      <c r="K554" s="315">
        <v>0</v>
      </c>
      <c r="L554" s="315">
        <f t="shared" si="105"/>
        <v>0</v>
      </c>
      <c r="M554" s="315">
        <v>0</v>
      </c>
      <c r="N554" s="315">
        <v>0</v>
      </c>
    </row>
    <row r="555" spans="1:14" s="314" customFormat="1" ht="14.85" hidden="1" customHeight="1">
      <c r="A555" s="1122"/>
      <c r="B555" s="1149"/>
      <c r="C555" s="1130"/>
      <c r="D555" s="1149"/>
      <c r="E555" s="1166"/>
      <c r="F555" s="1167"/>
      <c r="G555" s="317" t="s">
        <v>15</v>
      </c>
      <c r="H555" s="316">
        <f t="shared" si="103"/>
        <v>1722000</v>
      </c>
      <c r="I555" s="315">
        <f t="shared" si="104"/>
        <v>1722000</v>
      </c>
      <c r="J555" s="315">
        <f>J553+J554</f>
        <v>1722000</v>
      </c>
      <c r="K555" s="315">
        <f>K553+K554</f>
        <v>0</v>
      </c>
      <c r="L555" s="315">
        <f t="shared" si="105"/>
        <v>0</v>
      </c>
      <c r="M555" s="315">
        <f>M553+M554</f>
        <v>0</v>
      </c>
      <c r="N555" s="315">
        <f>N553+N554</f>
        <v>0</v>
      </c>
    </row>
    <row r="556" spans="1:14" s="314" customFormat="1" ht="14.25" customHeight="1">
      <c r="A556" s="1122"/>
      <c r="B556" s="1123"/>
      <c r="C556" s="1144" t="s">
        <v>272</v>
      </c>
      <c r="D556" s="1145"/>
      <c r="E556" s="1162" t="s">
        <v>572</v>
      </c>
      <c r="F556" s="1163"/>
      <c r="G556" s="317" t="s">
        <v>13</v>
      </c>
      <c r="H556" s="316">
        <f t="shared" si="103"/>
        <v>0</v>
      </c>
      <c r="I556" s="315">
        <f t="shared" si="104"/>
        <v>0</v>
      </c>
      <c r="J556" s="315">
        <v>0</v>
      </c>
      <c r="K556" s="315">
        <v>0</v>
      </c>
      <c r="L556" s="315">
        <f t="shared" si="105"/>
        <v>0</v>
      </c>
      <c r="M556" s="315">
        <v>0</v>
      </c>
      <c r="N556" s="315">
        <v>0</v>
      </c>
    </row>
    <row r="557" spans="1:14" s="314" customFormat="1" ht="14.25" customHeight="1">
      <c r="A557" s="1122"/>
      <c r="B557" s="1149"/>
      <c r="C557" s="1130"/>
      <c r="D557" s="1149"/>
      <c r="E557" s="1164"/>
      <c r="F557" s="1165"/>
      <c r="G557" s="317" t="s">
        <v>14</v>
      </c>
      <c r="H557" s="316">
        <f t="shared" si="103"/>
        <v>21486</v>
      </c>
      <c r="I557" s="315">
        <f t="shared" si="104"/>
        <v>21486</v>
      </c>
      <c r="J557" s="315">
        <v>21486</v>
      </c>
      <c r="K557" s="315">
        <v>0</v>
      </c>
      <c r="L557" s="315">
        <f t="shared" si="105"/>
        <v>0</v>
      </c>
      <c r="M557" s="315">
        <v>0</v>
      </c>
      <c r="N557" s="315">
        <v>0</v>
      </c>
    </row>
    <row r="558" spans="1:14" s="314" customFormat="1" ht="14.25" customHeight="1">
      <c r="A558" s="1122"/>
      <c r="B558" s="1149"/>
      <c r="C558" s="1130"/>
      <c r="D558" s="1149"/>
      <c r="E558" s="1166"/>
      <c r="F558" s="1167"/>
      <c r="G558" s="317" t="s">
        <v>15</v>
      </c>
      <c r="H558" s="316">
        <f t="shared" si="103"/>
        <v>21486</v>
      </c>
      <c r="I558" s="315">
        <f t="shared" si="104"/>
        <v>21486</v>
      </c>
      <c r="J558" s="315">
        <f>J556+J557</f>
        <v>21486</v>
      </c>
      <c r="K558" s="315">
        <f>K556+K557</f>
        <v>0</v>
      </c>
      <c r="L558" s="315">
        <f t="shared" si="105"/>
        <v>0</v>
      </c>
      <c r="M558" s="315">
        <f>M556+M557</f>
        <v>0</v>
      </c>
      <c r="N558" s="315">
        <f>N556+N557</f>
        <v>0</v>
      </c>
    </row>
    <row r="559" spans="1:14" s="314" customFormat="1" ht="15" hidden="1" customHeight="1">
      <c r="A559" s="1122"/>
      <c r="B559" s="1123"/>
      <c r="C559" s="1130"/>
      <c r="D559" s="1131"/>
      <c r="E559" s="1124" t="s">
        <v>571</v>
      </c>
      <c r="F559" s="1146"/>
      <c r="G559" s="317" t="s">
        <v>13</v>
      </c>
      <c r="H559" s="316">
        <f t="shared" si="103"/>
        <v>29641</v>
      </c>
      <c r="I559" s="315">
        <f t="shared" si="104"/>
        <v>29641</v>
      </c>
      <c r="J559" s="315">
        <v>0</v>
      </c>
      <c r="K559" s="315">
        <v>29641</v>
      </c>
      <c r="L559" s="315">
        <f t="shared" si="105"/>
        <v>0</v>
      </c>
      <c r="M559" s="315">
        <v>0</v>
      </c>
      <c r="N559" s="315">
        <v>0</v>
      </c>
    </row>
    <row r="560" spans="1:14" s="314" customFormat="1" ht="15" hidden="1" customHeight="1">
      <c r="A560" s="1122"/>
      <c r="B560" s="1149"/>
      <c r="C560" s="1130"/>
      <c r="D560" s="1149"/>
      <c r="E560" s="1126"/>
      <c r="F560" s="1147"/>
      <c r="G560" s="317" t="s">
        <v>14</v>
      </c>
      <c r="H560" s="316">
        <f t="shared" si="103"/>
        <v>0</v>
      </c>
      <c r="I560" s="315">
        <f t="shared" si="104"/>
        <v>0</v>
      </c>
      <c r="J560" s="315">
        <v>0</v>
      </c>
      <c r="K560" s="315">
        <v>0</v>
      </c>
      <c r="L560" s="315">
        <f t="shared" si="105"/>
        <v>0</v>
      </c>
      <c r="M560" s="315">
        <v>0</v>
      </c>
      <c r="N560" s="315">
        <v>0</v>
      </c>
    </row>
    <row r="561" spans="1:14" s="314" customFormat="1" ht="15" hidden="1" customHeight="1">
      <c r="A561" s="1122"/>
      <c r="B561" s="1149"/>
      <c r="C561" s="1130"/>
      <c r="D561" s="1149"/>
      <c r="E561" s="1128"/>
      <c r="F561" s="1148"/>
      <c r="G561" s="317" t="s">
        <v>15</v>
      </c>
      <c r="H561" s="316">
        <f t="shared" si="103"/>
        <v>29641</v>
      </c>
      <c r="I561" s="315">
        <f t="shared" si="104"/>
        <v>29641</v>
      </c>
      <c r="J561" s="315">
        <f>J559+J560</f>
        <v>0</v>
      </c>
      <c r="K561" s="315">
        <f>K559+K560</f>
        <v>29641</v>
      </c>
      <c r="L561" s="315">
        <f t="shared" si="105"/>
        <v>0</v>
      </c>
      <c r="M561" s="315">
        <f>M559+M560</f>
        <v>0</v>
      </c>
      <c r="N561" s="315">
        <f>N559+N560</f>
        <v>0</v>
      </c>
    </row>
    <row r="562" spans="1:14" s="314" customFormat="1" ht="15" hidden="1" customHeight="1">
      <c r="A562" s="1122"/>
      <c r="B562" s="1123"/>
      <c r="C562" s="1130"/>
      <c r="D562" s="1131"/>
      <c r="E562" s="1174" t="s">
        <v>570</v>
      </c>
      <c r="F562" s="1175"/>
      <c r="G562" s="317" t="s">
        <v>13</v>
      </c>
      <c r="H562" s="316">
        <f t="shared" si="103"/>
        <v>28515</v>
      </c>
      <c r="I562" s="315">
        <f t="shared" si="104"/>
        <v>28515</v>
      </c>
      <c r="J562" s="315">
        <v>28515</v>
      </c>
      <c r="K562" s="315">
        <v>0</v>
      </c>
      <c r="L562" s="315">
        <f t="shared" si="105"/>
        <v>0</v>
      </c>
      <c r="M562" s="315">
        <v>0</v>
      </c>
      <c r="N562" s="315">
        <v>0</v>
      </c>
    </row>
    <row r="563" spans="1:14" s="314" customFormat="1" ht="15" hidden="1" customHeight="1">
      <c r="A563" s="1122"/>
      <c r="B563" s="1149"/>
      <c r="C563" s="1130"/>
      <c r="D563" s="1149"/>
      <c r="E563" s="1176"/>
      <c r="F563" s="1177"/>
      <c r="G563" s="317" t="s">
        <v>14</v>
      </c>
      <c r="H563" s="316">
        <f t="shared" si="103"/>
        <v>0</v>
      </c>
      <c r="I563" s="315">
        <f t="shared" si="104"/>
        <v>0</v>
      </c>
      <c r="J563" s="315">
        <v>0</v>
      </c>
      <c r="K563" s="315">
        <v>0</v>
      </c>
      <c r="L563" s="315">
        <f t="shared" si="105"/>
        <v>0</v>
      </c>
      <c r="M563" s="315">
        <v>0</v>
      </c>
      <c r="N563" s="315">
        <v>0</v>
      </c>
    </row>
    <row r="564" spans="1:14" s="314" customFormat="1" ht="15" hidden="1" customHeight="1">
      <c r="A564" s="1122"/>
      <c r="B564" s="1149"/>
      <c r="C564" s="1130"/>
      <c r="D564" s="1149"/>
      <c r="E564" s="1178"/>
      <c r="F564" s="1179"/>
      <c r="G564" s="317" t="s">
        <v>15</v>
      </c>
      <c r="H564" s="316">
        <f t="shared" si="103"/>
        <v>28515</v>
      </c>
      <c r="I564" s="315">
        <f t="shared" si="104"/>
        <v>28515</v>
      </c>
      <c r="J564" s="315">
        <f>J562+J563</f>
        <v>28515</v>
      </c>
      <c r="K564" s="315">
        <f>K562+K563</f>
        <v>0</v>
      </c>
      <c r="L564" s="315">
        <f t="shared" si="105"/>
        <v>0</v>
      </c>
      <c r="M564" s="315">
        <f>M562+M563</f>
        <v>0</v>
      </c>
      <c r="N564" s="315">
        <f>N562+N563</f>
        <v>0</v>
      </c>
    </row>
    <row r="565" spans="1:14" s="314" customFormat="1" ht="18" hidden="1" customHeight="1">
      <c r="A565" s="1122"/>
      <c r="B565" s="1123"/>
      <c r="C565" s="1130"/>
      <c r="D565" s="1131"/>
      <c r="E565" s="1174" t="s">
        <v>569</v>
      </c>
      <c r="F565" s="1175"/>
      <c r="G565" s="317" t="s">
        <v>13</v>
      </c>
      <c r="H565" s="316">
        <f t="shared" si="103"/>
        <v>1148001</v>
      </c>
      <c r="I565" s="315">
        <f t="shared" si="104"/>
        <v>1148001</v>
      </c>
      <c r="J565" s="315">
        <v>1148001</v>
      </c>
      <c r="K565" s="315">
        <v>0</v>
      </c>
      <c r="L565" s="315">
        <f t="shared" si="105"/>
        <v>0</v>
      </c>
      <c r="M565" s="315">
        <v>0</v>
      </c>
      <c r="N565" s="315">
        <v>0</v>
      </c>
    </row>
    <row r="566" spans="1:14" s="314" customFormat="1" ht="18" hidden="1" customHeight="1">
      <c r="A566" s="1122"/>
      <c r="B566" s="1149"/>
      <c r="C566" s="1130"/>
      <c r="D566" s="1149"/>
      <c r="E566" s="1176"/>
      <c r="F566" s="1177"/>
      <c r="G566" s="317" t="s">
        <v>14</v>
      </c>
      <c r="H566" s="316">
        <f t="shared" si="103"/>
        <v>0</v>
      </c>
      <c r="I566" s="315">
        <f t="shared" si="104"/>
        <v>0</v>
      </c>
      <c r="J566" s="315">
        <v>0</v>
      </c>
      <c r="K566" s="315">
        <v>0</v>
      </c>
      <c r="L566" s="315">
        <f t="shared" si="105"/>
        <v>0</v>
      </c>
      <c r="M566" s="315">
        <v>0</v>
      </c>
      <c r="N566" s="315">
        <v>0</v>
      </c>
    </row>
    <row r="567" spans="1:14" s="314" customFormat="1" ht="18" hidden="1" customHeight="1">
      <c r="A567" s="1122"/>
      <c r="B567" s="1149"/>
      <c r="C567" s="1130"/>
      <c r="D567" s="1149"/>
      <c r="E567" s="1178"/>
      <c r="F567" s="1179"/>
      <c r="G567" s="317" t="s">
        <v>15</v>
      </c>
      <c r="H567" s="316">
        <f t="shared" si="103"/>
        <v>1148001</v>
      </c>
      <c r="I567" s="315">
        <f t="shared" si="104"/>
        <v>1148001</v>
      </c>
      <c r="J567" s="315">
        <f>J565+J566</f>
        <v>1148001</v>
      </c>
      <c r="K567" s="315">
        <f>K565+K566</f>
        <v>0</v>
      </c>
      <c r="L567" s="315">
        <f t="shared" si="105"/>
        <v>0</v>
      </c>
      <c r="M567" s="315">
        <f>M565+M566</f>
        <v>0</v>
      </c>
      <c r="N567" s="315">
        <f>N565+N566</f>
        <v>0</v>
      </c>
    </row>
    <row r="568" spans="1:14" s="314" customFormat="1" ht="18" customHeight="1">
      <c r="A568" s="1122"/>
      <c r="B568" s="1123"/>
      <c r="C568" s="1130"/>
      <c r="D568" s="1131"/>
      <c r="E568" s="1174" t="s">
        <v>568</v>
      </c>
      <c r="F568" s="1175"/>
      <c r="G568" s="317" t="s">
        <v>13</v>
      </c>
      <c r="H568" s="316">
        <f t="shared" si="103"/>
        <v>470110</v>
      </c>
      <c r="I568" s="315">
        <f t="shared" si="104"/>
        <v>470110</v>
      </c>
      <c r="J568" s="315">
        <v>470110</v>
      </c>
      <c r="K568" s="315">
        <v>0</v>
      </c>
      <c r="L568" s="315">
        <f t="shared" si="105"/>
        <v>0</v>
      </c>
      <c r="M568" s="315">
        <v>0</v>
      </c>
      <c r="N568" s="315">
        <v>0</v>
      </c>
    </row>
    <row r="569" spans="1:14" s="314" customFormat="1" ht="18" customHeight="1">
      <c r="A569" s="1122"/>
      <c r="B569" s="1149"/>
      <c r="C569" s="1130"/>
      <c r="D569" s="1149"/>
      <c r="E569" s="1176"/>
      <c r="F569" s="1177"/>
      <c r="G569" s="317" t="s">
        <v>14</v>
      </c>
      <c r="H569" s="316">
        <f t="shared" si="103"/>
        <v>1478759</v>
      </c>
      <c r="I569" s="315">
        <f t="shared" si="104"/>
        <v>1478759</v>
      </c>
      <c r="J569" s="315">
        <v>1478759</v>
      </c>
      <c r="K569" s="315">
        <v>0</v>
      </c>
      <c r="L569" s="315">
        <f t="shared" si="105"/>
        <v>0</v>
      </c>
      <c r="M569" s="315">
        <v>0</v>
      </c>
      <c r="N569" s="315">
        <v>0</v>
      </c>
    </row>
    <row r="570" spans="1:14" s="314" customFormat="1" ht="18" customHeight="1">
      <c r="A570" s="1122"/>
      <c r="B570" s="1149"/>
      <c r="C570" s="1130"/>
      <c r="D570" s="1149"/>
      <c r="E570" s="1178"/>
      <c r="F570" s="1179"/>
      <c r="G570" s="317" t="s">
        <v>15</v>
      </c>
      <c r="H570" s="316">
        <f t="shared" si="103"/>
        <v>1948869</v>
      </c>
      <c r="I570" s="315">
        <f t="shared" si="104"/>
        <v>1948869</v>
      </c>
      <c r="J570" s="315">
        <f>J568+J569</f>
        <v>1948869</v>
      </c>
      <c r="K570" s="315">
        <f>K568+K569</f>
        <v>0</v>
      </c>
      <c r="L570" s="315">
        <f t="shared" si="105"/>
        <v>0</v>
      </c>
      <c r="M570" s="315">
        <f>M568+M569</f>
        <v>0</v>
      </c>
      <c r="N570" s="315">
        <f>N568+N569</f>
        <v>0</v>
      </c>
    </row>
    <row r="571" spans="1:14" s="314" customFormat="1" ht="14.25" customHeight="1">
      <c r="A571" s="1122"/>
      <c r="B571" s="1123"/>
      <c r="C571" s="1130"/>
      <c r="D571" s="1131"/>
      <c r="E571" s="1174" t="s">
        <v>567</v>
      </c>
      <c r="F571" s="1175"/>
      <c r="G571" s="317" t="s">
        <v>13</v>
      </c>
      <c r="H571" s="316">
        <f t="shared" si="103"/>
        <v>0</v>
      </c>
      <c r="I571" s="315">
        <f t="shared" si="104"/>
        <v>0</v>
      </c>
      <c r="J571" s="315">
        <v>0</v>
      </c>
      <c r="K571" s="315">
        <v>0</v>
      </c>
      <c r="L571" s="315">
        <f t="shared" si="105"/>
        <v>0</v>
      </c>
      <c r="M571" s="315">
        <v>0</v>
      </c>
      <c r="N571" s="315">
        <v>0</v>
      </c>
    </row>
    <row r="572" spans="1:14" s="314" customFormat="1" ht="14.25" customHeight="1">
      <c r="A572" s="1122"/>
      <c r="B572" s="1149"/>
      <c r="C572" s="1130"/>
      <c r="D572" s="1149"/>
      <c r="E572" s="1176"/>
      <c r="F572" s="1177"/>
      <c r="G572" s="317" t="s">
        <v>14</v>
      </c>
      <c r="H572" s="316">
        <f t="shared" si="103"/>
        <v>541274</v>
      </c>
      <c r="I572" s="315">
        <f t="shared" si="104"/>
        <v>541274</v>
      </c>
      <c r="J572" s="315">
        <v>498765</v>
      </c>
      <c r="K572" s="315">
        <v>42509</v>
      </c>
      <c r="L572" s="315">
        <f t="shared" si="105"/>
        <v>0</v>
      </c>
      <c r="M572" s="315">
        <v>0</v>
      </c>
      <c r="N572" s="315">
        <v>0</v>
      </c>
    </row>
    <row r="573" spans="1:14" s="314" customFormat="1" ht="14.25" customHeight="1">
      <c r="A573" s="1122"/>
      <c r="B573" s="1149"/>
      <c r="C573" s="1130"/>
      <c r="D573" s="1149"/>
      <c r="E573" s="1178"/>
      <c r="F573" s="1179"/>
      <c r="G573" s="317" t="s">
        <v>15</v>
      </c>
      <c r="H573" s="316">
        <f t="shared" si="103"/>
        <v>541274</v>
      </c>
      <c r="I573" s="315">
        <f t="shared" si="104"/>
        <v>541274</v>
      </c>
      <c r="J573" s="315">
        <f>J571+J572</f>
        <v>498765</v>
      </c>
      <c r="K573" s="315">
        <f>K571+K572</f>
        <v>42509</v>
      </c>
      <c r="L573" s="315">
        <f t="shared" si="105"/>
        <v>0</v>
      </c>
      <c r="M573" s="315">
        <f>M571+M572</f>
        <v>0</v>
      </c>
      <c r="N573" s="315">
        <f>N571+N572</f>
        <v>0</v>
      </c>
    </row>
    <row r="574" spans="1:14" s="314" customFormat="1" ht="14.25" customHeight="1">
      <c r="A574" s="1122"/>
      <c r="B574" s="1123"/>
      <c r="C574" s="1130"/>
      <c r="D574" s="1131"/>
      <c r="E574" s="1174" t="s">
        <v>566</v>
      </c>
      <c r="F574" s="1175"/>
      <c r="G574" s="317" t="s">
        <v>13</v>
      </c>
      <c r="H574" s="316">
        <f t="shared" si="103"/>
        <v>0</v>
      </c>
      <c r="I574" s="315">
        <f t="shared" si="104"/>
        <v>0</v>
      </c>
      <c r="J574" s="315">
        <v>0</v>
      </c>
      <c r="K574" s="315">
        <v>0</v>
      </c>
      <c r="L574" s="315">
        <f t="shared" si="105"/>
        <v>0</v>
      </c>
      <c r="M574" s="315">
        <v>0</v>
      </c>
      <c r="N574" s="315">
        <v>0</v>
      </c>
    </row>
    <row r="575" spans="1:14" s="314" customFormat="1" ht="14.25" customHeight="1">
      <c r="A575" s="1122"/>
      <c r="B575" s="1149"/>
      <c r="C575" s="1130"/>
      <c r="D575" s="1149"/>
      <c r="E575" s="1176"/>
      <c r="F575" s="1177"/>
      <c r="G575" s="317" t="s">
        <v>14</v>
      </c>
      <c r="H575" s="316">
        <f t="shared" si="103"/>
        <v>1431933</v>
      </c>
      <c r="I575" s="315">
        <f t="shared" si="104"/>
        <v>1431933</v>
      </c>
      <c r="J575" s="315">
        <v>1294375</v>
      </c>
      <c r="K575" s="315">
        <v>137558</v>
      </c>
      <c r="L575" s="315">
        <f t="shared" si="105"/>
        <v>0</v>
      </c>
      <c r="M575" s="315">
        <v>0</v>
      </c>
      <c r="N575" s="315">
        <v>0</v>
      </c>
    </row>
    <row r="576" spans="1:14" s="314" customFormat="1" ht="14.25" customHeight="1">
      <c r="A576" s="1122"/>
      <c r="B576" s="1149"/>
      <c r="C576" s="1152"/>
      <c r="D576" s="1151"/>
      <c r="E576" s="1178"/>
      <c r="F576" s="1179"/>
      <c r="G576" s="317" t="s">
        <v>15</v>
      </c>
      <c r="H576" s="316">
        <f t="shared" si="103"/>
        <v>1431933</v>
      </c>
      <c r="I576" s="315">
        <f t="shared" si="104"/>
        <v>1431933</v>
      </c>
      <c r="J576" s="315">
        <f>J574+J575</f>
        <v>1294375</v>
      </c>
      <c r="K576" s="315">
        <f>K574+K575</f>
        <v>137558</v>
      </c>
      <c r="L576" s="315">
        <f t="shared" si="105"/>
        <v>0</v>
      </c>
      <c r="M576" s="315">
        <f>M574+M575</f>
        <v>0</v>
      </c>
      <c r="N576" s="315">
        <f>N574+N575</f>
        <v>0</v>
      </c>
    </row>
    <row r="577" spans="1:14" s="314" customFormat="1" ht="14.25" customHeight="1">
      <c r="A577" s="1122"/>
      <c r="B577" s="1123"/>
      <c r="C577" s="1130" t="s">
        <v>372</v>
      </c>
      <c r="D577" s="1131"/>
      <c r="E577" s="1124" t="s">
        <v>565</v>
      </c>
      <c r="F577" s="1125"/>
      <c r="G577" s="324" t="s">
        <v>13</v>
      </c>
      <c r="H577" s="316">
        <f t="shared" si="103"/>
        <v>0</v>
      </c>
      <c r="I577" s="315">
        <f t="shared" si="104"/>
        <v>0</v>
      </c>
      <c r="J577" s="315">
        <v>0</v>
      </c>
      <c r="K577" s="315">
        <v>0</v>
      </c>
      <c r="L577" s="315">
        <f t="shared" si="105"/>
        <v>0</v>
      </c>
      <c r="M577" s="315">
        <v>0</v>
      </c>
      <c r="N577" s="315">
        <v>0</v>
      </c>
    </row>
    <row r="578" spans="1:14" s="314" customFormat="1" ht="14.25" customHeight="1">
      <c r="A578" s="1122"/>
      <c r="B578" s="1140"/>
      <c r="C578" s="1130"/>
      <c r="D578" s="1140"/>
      <c r="E578" s="1136"/>
      <c r="F578" s="1137"/>
      <c r="G578" s="324" t="s">
        <v>14</v>
      </c>
      <c r="H578" s="316">
        <f t="shared" si="103"/>
        <v>1920475</v>
      </c>
      <c r="I578" s="315">
        <f t="shared" si="104"/>
        <v>1920475</v>
      </c>
      <c r="J578" s="315">
        <v>1920475</v>
      </c>
      <c r="K578" s="315">
        <v>0</v>
      </c>
      <c r="L578" s="315">
        <f t="shared" si="105"/>
        <v>0</v>
      </c>
      <c r="M578" s="315">
        <v>0</v>
      </c>
      <c r="N578" s="315">
        <v>0</v>
      </c>
    </row>
    <row r="579" spans="1:14" s="298" customFormat="1" ht="14.25" customHeight="1">
      <c r="A579" s="1132"/>
      <c r="B579" s="1141"/>
      <c r="C579" s="1134"/>
      <c r="D579" s="1141"/>
      <c r="E579" s="1138"/>
      <c r="F579" s="1139"/>
      <c r="G579" s="323" t="s">
        <v>15</v>
      </c>
      <c r="H579" s="320">
        <f t="shared" si="103"/>
        <v>1920475</v>
      </c>
      <c r="I579" s="319">
        <f t="shared" si="104"/>
        <v>1920475</v>
      </c>
      <c r="J579" s="319">
        <f>J577+J578</f>
        <v>1920475</v>
      </c>
      <c r="K579" s="319">
        <f>K577+K578</f>
        <v>0</v>
      </c>
      <c r="L579" s="319">
        <f t="shared" si="105"/>
        <v>0</v>
      </c>
      <c r="M579" s="319">
        <f>M577+M578</f>
        <v>0</v>
      </c>
      <c r="N579" s="319">
        <f>N577+N578</f>
        <v>0</v>
      </c>
    </row>
    <row r="580" spans="1:14" s="314" customFormat="1" ht="15" hidden="1" customHeight="1">
      <c r="A580" s="1122"/>
      <c r="B580" s="1123"/>
      <c r="C580" s="1144" t="s">
        <v>277</v>
      </c>
      <c r="D580" s="1145"/>
      <c r="E580" s="1124" t="s">
        <v>564</v>
      </c>
      <c r="F580" s="1146"/>
      <c r="G580" s="317" t="s">
        <v>13</v>
      </c>
      <c r="H580" s="316">
        <f t="shared" si="103"/>
        <v>51000</v>
      </c>
      <c r="I580" s="315">
        <f t="shared" si="104"/>
        <v>51000</v>
      </c>
      <c r="J580" s="315">
        <v>0</v>
      </c>
      <c r="K580" s="315">
        <v>51000</v>
      </c>
      <c r="L580" s="315">
        <f t="shared" si="105"/>
        <v>0</v>
      </c>
      <c r="M580" s="315">
        <v>0</v>
      </c>
      <c r="N580" s="315">
        <v>0</v>
      </c>
    </row>
    <row r="581" spans="1:14" s="314" customFormat="1" ht="15" hidden="1" customHeight="1">
      <c r="A581" s="1122"/>
      <c r="B581" s="1149"/>
      <c r="C581" s="1130"/>
      <c r="D581" s="1149"/>
      <c r="E581" s="1126"/>
      <c r="F581" s="1147"/>
      <c r="G581" s="317" t="s">
        <v>14</v>
      </c>
      <c r="H581" s="316">
        <f t="shared" si="103"/>
        <v>0</v>
      </c>
      <c r="I581" s="315">
        <f t="shared" si="104"/>
        <v>0</v>
      </c>
      <c r="J581" s="315">
        <v>0</v>
      </c>
      <c r="K581" s="315">
        <v>0</v>
      </c>
      <c r="L581" s="315">
        <f t="shared" si="105"/>
        <v>0</v>
      </c>
      <c r="M581" s="315">
        <v>0</v>
      </c>
      <c r="N581" s="315">
        <v>0</v>
      </c>
    </row>
    <row r="582" spans="1:14" s="314" customFormat="1" ht="15" hidden="1" customHeight="1">
      <c r="A582" s="1122"/>
      <c r="B582" s="1149"/>
      <c r="C582" s="1130"/>
      <c r="D582" s="1149"/>
      <c r="E582" s="1128"/>
      <c r="F582" s="1148"/>
      <c r="G582" s="317" t="s">
        <v>15</v>
      </c>
      <c r="H582" s="316">
        <f t="shared" si="103"/>
        <v>51000</v>
      </c>
      <c r="I582" s="315">
        <f t="shared" si="104"/>
        <v>51000</v>
      </c>
      <c r="J582" s="315">
        <f>J580+J581</f>
        <v>0</v>
      </c>
      <c r="K582" s="315">
        <f>K580+K581</f>
        <v>51000</v>
      </c>
      <c r="L582" s="315">
        <f t="shared" si="105"/>
        <v>0</v>
      </c>
      <c r="M582" s="315">
        <f>M580+M581</f>
        <v>0</v>
      </c>
      <c r="N582" s="315">
        <f>N580+N581</f>
        <v>0</v>
      </c>
    </row>
    <row r="583" spans="1:14" s="314" customFormat="1" ht="15" hidden="1" customHeight="1">
      <c r="A583" s="1122"/>
      <c r="B583" s="1123"/>
      <c r="C583" s="1130"/>
      <c r="D583" s="1131"/>
      <c r="E583" s="1174" t="s">
        <v>563</v>
      </c>
      <c r="F583" s="1175"/>
      <c r="G583" s="317" t="s">
        <v>13</v>
      </c>
      <c r="H583" s="316">
        <f t="shared" si="103"/>
        <v>165225</v>
      </c>
      <c r="I583" s="315">
        <f t="shared" si="104"/>
        <v>165225</v>
      </c>
      <c r="J583" s="315">
        <v>165225</v>
      </c>
      <c r="K583" s="315">
        <v>0</v>
      </c>
      <c r="L583" s="315">
        <f t="shared" si="105"/>
        <v>0</v>
      </c>
      <c r="M583" s="315">
        <v>0</v>
      </c>
      <c r="N583" s="315">
        <v>0</v>
      </c>
    </row>
    <row r="584" spans="1:14" s="314" customFormat="1" ht="15" hidden="1" customHeight="1">
      <c r="A584" s="1122"/>
      <c r="B584" s="1149"/>
      <c r="C584" s="1130"/>
      <c r="D584" s="1149"/>
      <c r="E584" s="1176"/>
      <c r="F584" s="1177"/>
      <c r="G584" s="317" t="s">
        <v>14</v>
      </c>
      <c r="H584" s="316">
        <f t="shared" si="103"/>
        <v>0</v>
      </c>
      <c r="I584" s="315">
        <f t="shared" si="104"/>
        <v>0</v>
      </c>
      <c r="J584" s="315">
        <v>0</v>
      </c>
      <c r="K584" s="315">
        <v>0</v>
      </c>
      <c r="L584" s="315">
        <f t="shared" si="105"/>
        <v>0</v>
      </c>
      <c r="M584" s="315">
        <v>0</v>
      </c>
      <c r="N584" s="315">
        <v>0</v>
      </c>
    </row>
    <row r="585" spans="1:14" s="314" customFormat="1" ht="15" hidden="1" customHeight="1">
      <c r="A585" s="1122"/>
      <c r="B585" s="1149"/>
      <c r="C585" s="1130"/>
      <c r="D585" s="1149"/>
      <c r="E585" s="1178"/>
      <c r="F585" s="1179"/>
      <c r="G585" s="317" t="s">
        <v>15</v>
      </c>
      <c r="H585" s="316">
        <f t="shared" si="103"/>
        <v>165225</v>
      </c>
      <c r="I585" s="315">
        <f t="shared" si="104"/>
        <v>165225</v>
      </c>
      <c r="J585" s="315">
        <f>J583+J584</f>
        <v>165225</v>
      </c>
      <c r="K585" s="315">
        <f>K583+K584</f>
        <v>0</v>
      </c>
      <c r="L585" s="315">
        <f t="shared" si="105"/>
        <v>0</v>
      </c>
      <c r="M585" s="315">
        <f>M583+M584</f>
        <v>0</v>
      </c>
      <c r="N585" s="315">
        <f>N583+N584</f>
        <v>0</v>
      </c>
    </row>
    <row r="586" spans="1:14" s="314" customFormat="1" ht="14.25" customHeight="1">
      <c r="A586" s="1122"/>
      <c r="B586" s="1123"/>
      <c r="C586" s="1144" t="s">
        <v>277</v>
      </c>
      <c r="D586" s="1145"/>
      <c r="E586" s="1124" t="s">
        <v>562</v>
      </c>
      <c r="F586" s="1146"/>
      <c r="G586" s="317" t="s">
        <v>13</v>
      </c>
      <c r="H586" s="316">
        <f t="shared" si="103"/>
        <v>16858</v>
      </c>
      <c r="I586" s="315">
        <f t="shared" si="104"/>
        <v>16858</v>
      </c>
      <c r="J586" s="315">
        <v>16858</v>
      </c>
      <c r="K586" s="315">
        <v>0</v>
      </c>
      <c r="L586" s="315">
        <f t="shared" si="105"/>
        <v>0</v>
      </c>
      <c r="M586" s="315">
        <v>0</v>
      </c>
      <c r="N586" s="315">
        <v>0</v>
      </c>
    </row>
    <row r="587" spans="1:14" s="314" customFormat="1" ht="14.25" customHeight="1">
      <c r="A587" s="1122"/>
      <c r="B587" s="1149"/>
      <c r="C587" s="1130"/>
      <c r="D587" s="1149"/>
      <c r="E587" s="1126"/>
      <c r="F587" s="1147"/>
      <c r="G587" s="317" t="s">
        <v>14</v>
      </c>
      <c r="H587" s="316">
        <f t="shared" si="103"/>
        <v>28059</v>
      </c>
      <c r="I587" s="315">
        <f t="shared" si="104"/>
        <v>28059</v>
      </c>
      <c r="J587" s="315">
        <v>28059</v>
      </c>
      <c r="K587" s="315">
        <v>0</v>
      </c>
      <c r="L587" s="315">
        <f t="shared" si="105"/>
        <v>0</v>
      </c>
      <c r="M587" s="315">
        <v>0</v>
      </c>
      <c r="N587" s="315">
        <v>0</v>
      </c>
    </row>
    <row r="588" spans="1:14" s="314" customFormat="1" ht="14.25" customHeight="1">
      <c r="A588" s="1122"/>
      <c r="B588" s="1149"/>
      <c r="C588" s="1130"/>
      <c r="D588" s="1149"/>
      <c r="E588" s="1128"/>
      <c r="F588" s="1148"/>
      <c r="G588" s="317" t="s">
        <v>15</v>
      </c>
      <c r="H588" s="316">
        <f t="shared" si="103"/>
        <v>44917</v>
      </c>
      <c r="I588" s="315">
        <f t="shared" si="104"/>
        <v>44917</v>
      </c>
      <c r="J588" s="315">
        <f>J586+J587</f>
        <v>44917</v>
      </c>
      <c r="K588" s="315">
        <f>K586+K587</f>
        <v>0</v>
      </c>
      <c r="L588" s="315">
        <f t="shared" si="105"/>
        <v>0</v>
      </c>
      <c r="M588" s="315">
        <f>M586+M587</f>
        <v>0</v>
      </c>
      <c r="N588" s="315">
        <f>N586+N587</f>
        <v>0</v>
      </c>
    </row>
    <row r="589" spans="1:14" s="314" customFormat="1" ht="15" hidden="1" customHeight="1">
      <c r="A589" s="1122"/>
      <c r="B589" s="1123"/>
      <c r="C589" s="1130"/>
      <c r="D589" s="1131"/>
      <c r="E589" s="1124" t="s">
        <v>561</v>
      </c>
      <c r="F589" s="1146"/>
      <c r="G589" s="317" t="s">
        <v>13</v>
      </c>
      <c r="H589" s="316">
        <f t="shared" si="103"/>
        <v>91000</v>
      </c>
      <c r="I589" s="315">
        <f t="shared" si="104"/>
        <v>91000</v>
      </c>
      <c r="J589" s="315">
        <v>0</v>
      </c>
      <c r="K589" s="315">
        <v>91000</v>
      </c>
      <c r="L589" s="315">
        <f t="shared" si="105"/>
        <v>0</v>
      </c>
      <c r="M589" s="315">
        <v>0</v>
      </c>
      <c r="N589" s="315">
        <v>0</v>
      </c>
    </row>
    <row r="590" spans="1:14" s="314" customFormat="1" ht="15" hidden="1" customHeight="1">
      <c r="A590" s="1122"/>
      <c r="B590" s="1149"/>
      <c r="C590" s="1130"/>
      <c r="D590" s="1149"/>
      <c r="E590" s="1126"/>
      <c r="F590" s="1147"/>
      <c r="G590" s="317" t="s">
        <v>14</v>
      </c>
      <c r="H590" s="316">
        <f t="shared" si="103"/>
        <v>0</v>
      </c>
      <c r="I590" s="315">
        <f t="shared" si="104"/>
        <v>0</v>
      </c>
      <c r="J590" s="315">
        <v>0</v>
      </c>
      <c r="K590" s="315">
        <v>0</v>
      </c>
      <c r="L590" s="315">
        <f t="shared" si="105"/>
        <v>0</v>
      </c>
      <c r="M590" s="315">
        <v>0</v>
      </c>
      <c r="N590" s="315">
        <v>0</v>
      </c>
    </row>
    <row r="591" spans="1:14" s="314" customFormat="1" ht="15" hidden="1" customHeight="1">
      <c r="A591" s="1122"/>
      <c r="B591" s="1149"/>
      <c r="C591" s="1130"/>
      <c r="D591" s="1149"/>
      <c r="E591" s="1128"/>
      <c r="F591" s="1148"/>
      <c r="G591" s="317" t="s">
        <v>15</v>
      </c>
      <c r="H591" s="316">
        <f t="shared" si="103"/>
        <v>91000</v>
      </c>
      <c r="I591" s="315">
        <f t="shared" si="104"/>
        <v>91000</v>
      </c>
      <c r="J591" s="315">
        <f>J589+J590</f>
        <v>0</v>
      </c>
      <c r="K591" s="315">
        <f>K589+K590</f>
        <v>91000</v>
      </c>
      <c r="L591" s="315">
        <f t="shared" si="105"/>
        <v>0</v>
      </c>
      <c r="M591" s="315">
        <f>M589+M590</f>
        <v>0</v>
      </c>
      <c r="N591" s="315">
        <f>N589+N590</f>
        <v>0</v>
      </c>
    </row>
    <row r="592" spans="1:14" s="314" customFormat="1" ht="15" hidden="1" customHeight="1">
      <c r="A592" s="1122"/>
      <c r="B592" s="1123"/>
      <c r="C592" s="1130"/>
      <c r="D592" s="1131"/>
      <c r="E592" s="1124" t="s">
        <v>560</v>
      </c>
      <c r="F592" s="1146"/>
      <c r="G592" s="317" t="s">
        <v>13</v>
      </c>
      <c r="H592" s="316">
        <f t="shared" si="103"/>
        <v>171200</v>
      </c>
      <c r="I592" s="315">
        <f t="shared" si="104"/>
        <v>171200</v>
      </c>
      <c r="J592" s="315">
        <v>171200</v>
      </c>
      <c r="K592" s="315">
        <v>0</v>
      </c>
      <c r="L592" s="315">
        <f t="shared" si="105"/>
        <v>0</v>
      </c>
      <c r="M592" s="315">
        <v>0</v>
      </c>
      <c r="N592" s="315">
        <v>0</v>
      </c>
    </row>
    <row r="593" spans="1:14" s="314" customFormat="1" ht="15" hidden="1" customHeight="1">
      <c r="A593" s="1122"/>
      <c r="B593" s="1149"/>
      <c r="C593" s="1130"/>
      <c r="D593" s="1149"/>
      <c r="E593" s="1126"/>
      <c r="F593" s="1147"/>
      <c r="G593" s="317" t="s">
        <v>14</v>
      </c>
      <c r="H593" s="316">
        <f t="shared" si="103"/>
        <v>0</v>
      </c>
      <c r="I593" s="315">
        <f t="shared" si="104"/>
        <v>0</v>
      </c>
      <c r="J593" s="315">
        <v>0</v>
      </c>
      <c r="K593" s="315">
        <v>0</v>
      </c>
      <c r="L593" s="315">
        <f t="shared" si="105"/>
        <v>0</v>
      </c>
      <c r="M593" s="315">
        <v>0</v>
      </c>
      <c r="N593" s="315">
        <v>0</v>
      </c>
    </row>
    <row r="594" spans="1:14" s="314" customFormat="1" ht="15" hidden="1" customHeight="1">
      <c r="A594" s="1122"/>
      <c r="B594" s="1149"/>
      <c r="C594" s="1152"/>
      <c r="D594" s="1151"/>
      <c r="E594" s="1128"/>
      <c r="F594" s="1148"/>
      <c r="G594" s="317" t="s">
        <v>15</v>
      </c>
      <c r="H594" s="316">
        <f t="shared" si="103"/>
        <v>171200</v>
      </c>
      <c r="I594" s="315">
        <f t="shared" si="104"/>
        <v>171200</v>
      </c>
      <c r="J594" s="315">
        <f>J592+J593</f>
        <v>171200</v>
      </c>
      <c r="K594" s="315">
        <f>K592+K593</f>
        <v>0</v>
      </c>
      <c r="L594" s="315">
        <f t="shared" si="105"/>
        <v>0</v>
      </c>
      <c r="M594" s="315">
        <f>M592+M593</f>
        <v>0</v>
      </c>
      <c r="N594" s="315">
        <f>N592+N593</f>
        <v>0</v>
      </c>
    </row>
    <row r="595" spans="1:14" s="314" customFormat="1" ht="15" hidden="1" customHeight="1">
      <c r="A595" s="1122"/>
      <c r="B595" s="1123"/>
      <c r="C595" s="1144" t="s">
        <v>280</v>
      </c>
      <c r="D595" s="1145"/>
      <c r="E595" s="1124" t="s">
        <v>559</v>
      </c>
      <c r="F595" s="1146"/>
      <c r="G595" s="317" t="s">
        <v>13</v>
      </c>
      <c r="H595" s="316">
        <f t="shared" si="103"/>
        <v>59000</v>
      </c>
      <c r="I595" s="315">
        <f t="shared" si="104"/>
        <v>59000</v>
      </c>
      <c r="J595" s="315">
        <v>59000</v>
      </c>
      <c r="K595" s="315">
        <v>0</v>
      </c>
      <c r="L595" s="315">
        <f t="shared" si="105"/>
        <v>0</v>
      </c>
      <c r="M595" s="315">
        <v>0</v>
      </c>
      <c r="N595" s="315">
        <v>0</v>
      </c>
    </row>
    <row r="596" spans="1:14" s="314" customFormat="1" ht="15" hidden="1" customHeight="1">
      <c r="A596" s="1122"/>
      <c r="B596" s="1149"/>
      <c r="C596" s="1130"/>
      <c r="D596" s="1149"/>
      <c r="E596" s="1126"/>
      <c r="F596" s="1147"/>
      <c r="G596" s="317" t="s">
        <v>14</v>
      </c>
      <c r="H596" s="316">
        <f t="shared" si="103"/>
        <v>0</v>
      </c>
      <c r="I596" s="315">
        <f t="shared" si="104"/>
        <v>0</v>
      </c>
      <c r="J596" s="315">
        <v>0</v>
      </c>
      <c r="K596" s="315">
        <v>0</v>
      </c>
      <c r="L596" s="315">
        <f t="shared" si="105"/>
        <v>0</v>
      </c>
      <c r="M596" s="315">
        <v>0</v>
      </c>
      <c r="N596" s="315">
        <v>0</v>
      </c>
    </row>
    <row r="597" spans="1:14" s="314" customFormat="1" ht="15" hidden="1" customHeight="1">
      <c r="A597" s="1122"/>
      <c r="B597" s="1149"/>
      <c r="C597" s="1130"/>
      <c r="D597" s="1149"/>
      <c r="E597" s="1128"/>
      <c r="F597" s="1148"/>
      <c r="G597" s="317" t="s">
        <v>15</v>
      </c>
      <c r="H597" s="316">
        <f t="shared" si="103"/>
        <v>59000</v>
      </c>
      <c r="I597" s="315">
        <f t="shared" si="104"/>
        <v>59000</v>
      </c>
      <c r="J597" s="315">
        <f>J595+J596</f>
        <v>59000</v>
      </c>
      <c r="K597" s="315">
        <f>K595+K596</f>
        <v>0</v>
      </c>
      <c r="L597" s="315">
        <f t="shared" si="105"/>
        <v>0</v>
      </c>
      <c r="M597" s="315">
        <f>M595+M596</f>
        <v>0</v>
      </c>
      <c r="N597" s="315">
        <f>N595+N596</f>
        <v>0</v>
      </c>
    </row>
    <row r="598" spans="1:14" s="314" customFormat="1" ht="14.25" customHeight="1">
      <c r="A598" s="1122"/>
      <c r="B598" s="1123"/>
      <c r="C598" s="1144" t="s">
        <v>280</v>
      </c>
      <c r="D598" s="1145"/>
      <c r="E598" s="1126" t="s">
        <v>558</v>
      </c>
      <c r="F598" s="1127"/>
      <c r="G598" s="330" t="s">
        <v>13</v>
      </c>
      <c r="H598" s="329">
        <f t="shared" ref="H598:H661" si="106">I598+L598</f>
        <v>0</v>
      </c>
      <c r="I598" s="328">
        <f t="shared" ref="I598:I661" si="107">J598+K598</f>
        <v>0</v>
      </c>
      <c r="J598" s="328">
        <v>0</v>
      </c>
      <c r="K598" s="328">
        <v>0</v>
      </c>
      <c r="L598" s="328">
        <f t="shared" ref="L598:L661" si="108">M598+N598</f>
        <v>0</v>
      </c>
      <c r="M598" s="328">
        <v>0</v>
      </c>
      <c r="N598" s="328">
        <v>0</v>
      </c>
    </row>
    <row r="599" spans="1:14" s="314" customFormat="1" ht="14.25" customHeight="1">
      <c r="A599" s="1122"/>
      <c r="B599" s="1123"/>
      <c r="C599" s="1130"/>
      <c r="D599" s="1131"/>
      <c r="E599" s="1126"/>
      <c r="F599" s="1127"/>
      <c r="G599" s="322" t="s">
        <v>14</v>
      </c>
      <c r="H599" s="316">
        <f t="shared" si="106"/>
        <v>20000</v>
      </c>
      <c r="I599" s="315">
        <f t="shared" si="107"/>
        <v>20000</v>
      </c>
      <c r="J599" s="315">
        <v>0</v>
      </c>
      <c r="K599" s="315">
        <v>20000</v>
      </c>
      <c r="L599" s="315">
        <f t="shared" si="108"/>
        <v>0</v>
      </c>
      <c r="M599" s="315">
        <v>0</v>
      </c>
      <c r="N599" s="315">
        <v>0</v>
      </c>
    </row>
    <row r="600" spans="1:14" s="298" customFormat="1" ht="14.25" customHeight="1">
      <c r="A600" s="1132"/>
      <c r="B600" s="1133"/>
      <c r="C600" s="1134"/>
      <c r="D600" s="1135"/>
      <c r="E600" s="1128"/>
      <c r="F600" s="1129"/>
      <c r="G600" s="321" t="s">
        <v>15</v>
      </c>
      <c r="H600" s="320">
        <f t="shared" si="106"/>
        <v>20000</v>
      </c>
      <c r="I600" s="319">
        <f t="shared" si="107"/>
        <v>20000</v>
      </c>
      <c r="J600" s="319">
        <f>J598+J599</f>
        <v>0</v>
      </c>
      <c r="K600" s="319">
        <f>K598+K599</f>
        <v>20000</v>
      </c>
      <c r="L600" s="319">
        <f t="shared" si="108"/>
        <v>0</v>
      </c>
      <c r="M600" s="319">
        <f>M598+M599</f>
        <v>0</v>
      </c>
      <c r="N600" s="319">
        <f>N598+N599</f>
        <v>0</v>
      </c>
    </row>
    <row r="601" spans="1:14" s="314" customFormat="1" ht="14.25" customHeight="1">
      <c r="A601" s="1122"/>
      <c r="B601" s="1123"/>
      <c r="C601" s="1130"/>
      <c r="D601" s="1131"/>
      <c r="E601" s="1126" t="s">
        <v>557</v>
      </c>
      <c r="F601" s="1127"/>
      <c r="G601" s="327" t="s">
        <v>13</v>
      </c>
      <c r="H601" s="316">
        <f t="shared" si="106"/>
        <v>0</v>
      </c>
      <c r="I601" s="315">
        <f t="shared" si="107"/>
        <v>0</v>
      </c>
      <c r="J601" s="315">
        <v>0</v>
      </c>
      <c r="K601" s="315">
        <v>0</v>
      </c>
      <c r="L601" s="315">
        <f t="shared" si="108"/>
        <v>0</v>
      </c>
      <c r="M601" s="315">
        <v>0</v>
      </c>
      <c r="N601" s="315">
        <v>0</v>
      </c>
    </row>
    <row r="602" spans="1:14" s="314" customFormat="1" ht="14.25" customHeight="1">
      <c r="A602" s="1122"/>
      <c r="B602" s="1123"/>
      <c r="C602" s="1130"/>
      <c r="D602" s="1131"/>
      <c r="E602" s="1126"/>
      <c r="F602" s="1127"/>
      <c r="G602" s="327" t="s">
        <v>14</v>
      </c>
      <c r="H602" s="316">
        <f t="shared" si="106"/>
        <v>21200</v>
      </c>
      <c r="I602" s="315">
        <f t="shared" si="107"/>
        <v>21200</v>
      </c>
      <c r="J602" s="315">
        <v>0</v>
      </c>
      <c r="K602" s="315">
        <v>21200</v>
      </c>
      <c r="L602" s="315">
        <f t="shared" si="108"/>
        <v>0</v>
      </c>
      <c r="M602" s="315">
        <v>0</v>
      </c>
      <c r="N602" s="315">
        <v>0</v>
      </c>
    </row>
    <row r="603" spans="1:14" s="298" customFormat="1" ht="14.25" customHeight="1">
      <c r="A603" s="1132"/>
      <c r="B603" s="1133"/>
      <c r="C603" s="1134"/>
      <c r="D603" s="1135"/>
      <c r="E603" s="1128"/>
      <c r="F603" s="1129"/>
      <c r="G603" s="326" t="s">
        <v>15</v>
      </c>
      <c r="H603" s="316">
        <f t="shared" si="106"/>
        <v>21200</v>
      </c>
      <c r="I603" s="315">
        <f t="shared" si="107"/>
        <v>21200</v>
      </c>
      <c r="J603" s="315">
        <f>J601+J602</f>
        <v>0</v>
      </c>
      <c r="K603" s="315">
        <f>K601+K602</f>
        <v>21200</v>
      </c>
      <c r="L603" s="315">
        <f t="shared" si="108"/>
        <v>0</v>
      </c>
      <c r="M603" s="315">
        <f>M601+M602</f>
        <v>0</v>
      </c>
      <c r="N603" s="315">
        <f>N601+N602</f>
        <v>0</v>
      </c>
    </row>
    <row r="604" spans="1:14" s="314" customFormat="1" ht="15" hidden="1" customHeight="1">
      <c r="A604" s="1122"/>
      <c r="B604" s="1123"/>
      <c r="C604" s="1144" t="s">
        <v>283</v>
      </c>
      <c r="D604" s="1145"/>
      <c r="E604" s="1124" t="s">
        <v>556</v>
      </c>
      <c r="F604" s="1146"/>
      <c r="G604" s="317" t="s">
        <v>13</v>
      </c>
      <c r="H604" s="316">
        <f t="shared" si="106"/>
        <v>6000</v>
      </c>
      <c r="I604" s="315">
        <f t="shared" si="107"/>
        <v>6000</v>
      </c>
      <c r="J604" s="315">
        <v>0</v>
      </c>
      <c r="K604" s="315">
        <v>6000</v>
      </c>
      <c r="L604" s="315">
        <f t="shared" si="108"/>
        <v>0</v>
      </c>
      <c r="M604" s="315">
        <v>0</v>
      </c>
      <c r="N604" s="315">
        <v>0</v>
      </c>
    </row>
    <row r="605" spans="1:14" s="314" customFormat="1" ht="15" hidden="1" customHeight="1">
      <c r="A605" s="1122"/>
      <c r="B605" s="1149"/>
      <c r="C605" s="1130"/>
      <c r="D605" s="1149"/>
      <c r="E605" s="1126"/>
      <c r="F605" s="1147"/>
      <c r="G605" s="317" t="s">
        <v>14</v>
      </c>
      <c r="H605" s="316">
        <f t="shared" si="106"/>
        <v>0</v>
      </c>
      <c r="I605" s="315">
        <f t="shared" si="107"/>
        <v>0</v>
      </c>
      <c r="J605" s="315">
        <v>0</v>
      </c>
      <c r="K605" s="315">
        <v>0</v>
      </c>
      <c r="L605" s="315">
        <f t="shared" si="108"/>
        <v>0</v>
      </c>
      <c r="M605" s="315">
        <v>0</v>
      </c>
      <c r="N605" s="315">
        <v>0</v>
      </c>
    </row>
    <row r="606" spans="1:14" s="314" customFormat="1" ht="15" hidden="1" customHeight="1">
      <c r="A606" s="1122"/>
      <c r="B606" s="1149"/>
      <c r="C606" s="1130"/>
      <c r="D606" s="1149"/>
      <c r="E606" s="1128"/>
      <c r="F606" s="1148"/>
      <c r="G606" s="317" t="s">
        <v>15</v>
      </c>
      <c r="H606" s="316">
        <f t="shared" si="106"/>
        <v>6000</v>
      </c>
      <c r="I606" s="315">
        <f t="shared" si="107"/>
        <v>6000</v>
      </c>
      <c r="J606" s="315">
        <f>J604+J605</f>
        <v>0</v>
      </c>
      <c r="K606" s="315">
        <f>K604+K605</f>
        <v>6000</v>
      </c>
      <c r="L606" s="315">
        <f t="shared" si="108"/>
        <v>0</v>
      </c>
      <c r="M606" s="315">
        <f>M604+M605</f>
        <v>0</v>
      </c>
      <c r="N606" s="315">
        <f>N604+N605</f>
        <v>0</v>
      </c>
    </row>
    <row r="607" spans="1:14" s="314" customFormat="1" ht="15" hidden="1" customHeight="1">
      <c r="A607" s="1122"/>
      <c r="B607" s="1123"/>
      <c r="C607" s="1130"/>
      <c r="D607" s="1131"/>
      <c r="E607" s="1124" t="s">
        <v>555</v>
      </c>
      <c r="F607" s="1146"/>
      <c r="G607" s="317" t="s">
        <v>13</v>
      </c>
      <c r="H607" s="316">
        <f t="shared" si="106"/>
        <v>25500</v>
      </c>
      <c r="I607" s="315">
        <f t="shared" si="107"/>
        <v>25500</v>
      </c>
      <c r="J607" s="315">
        <v>25500</v>
      </c>
      <c r="K607" s="315">
        <v>0</v>
      </c>
      <c r="L607" s="315">
        <f t="shared" si="108"/>
        <v>0</v>
      </c>
      <c r="M607" s="315">
        <v>0</v>
      </c>
      <c r="N607" s="315">
        <v>0</v>
      </c>
    </row>
    <row r="608" spans="1:14" s="314" customFormat="1" ht="15" hidden="1" customHeight="1">
      <c r="A608" s="1122"/>
      <c r="B608" s="1149"/>
      <c r="C608" s="1130"/>
      <c r="D608" s="1149"/>
      <c r="E608" s="1126"/>
      <c r="F608" s="1147"/>
      <c r="G608" s="317" t="s">
        <v>14</v>
      </c>
      <c r="H608" s="316">
        <f t="shared" si="106"/>
        <v>0</v>
      </c>
      <c r="I608" s="315">
        <f t="shared" si="107"/>
        <v>0</v>
      </c>
      <c r="J608" s="315">
        <v>0</v>
      </c>
      <c r="K608" s="315">
        <v>0</v>
      </c>
      <c r="L608" s="315">
        <f t="shared" si="108"/>
        <v>0</v>
      </c>
      <c r="M608" s="315">
        <v>0</v>
      </c>
      <c r="N608" s="315">
        <v>0</v>
      </c>
    </row>
    <row r="609" spans="1:14" s="314" customFormat="1" ht="15" hidden="1" customHeight="1">
      <c r="A609" s="1122"/>
      <c r="B609" s="1149"/>
      <c r="C609" s="1130"/>
      <c r="D609" s="1149"/>
      <c r="E609" s="1128"/>
      <c r="F609" s="1148"/>
      <c r="G609" s="317" t="s">
        <v>15</v>
      </c>
      <c r="H609" s="316">
        <f t="shared" si="106"/>
        <v>25500</v>
      </c>
      <c r="I609" s="315">
        <f t="shared" si="107"/>
        <v>25500</v>
      </c>
      <c r="J609" s="315">
        <f>J607+J608</f>
        <v>25500</v>
      </c>
      <c r="K609" s="315">
        <f>K607+K608</f>
        <v>0</v>
      </c>
      <c r="L609" s="315">
        <f t="shared" si="108"/>
        <v>0</v>
      </c>
      <c r="M609" s="315">
        <f>M607+M608</f>
        <v>0</v>
      </c>
      <c r="N609" s="315">
        <f>N607+N608</f>
        <v>0</v>
      </c>
    </row>
    <row r="610" spans="1:14" s="314" customFormat="1" ht="14.85" customHeight="1">
      <c r="A610" s="1122"/>
      <c r="B610" s="1123"/>
      <c r="C610" s="1144" t="s">
        <v>283</v>
      </c>
      <c r="D610" s="1145"/>
      <c r="E610" s="1124" t="s">
        <v>554</v>
      </c>
      <c r="F610" s="1146"/>
      <c r="G610" s="317" t="s">
        <v>13</v>
      </c>
      <c r="H610" s="316">
        <f t="shared" si="106"/>
        <v>0</v>
      </c>
      <c r="I610" s="315">
        <f t="shared" si="107"/>
        <v>0</v>
      </c>
      <c r="J610" s="315">
        <v>0</v>
      </c>
      <c r="K610" s="315">
        <v>0</v>
      </c>
      <c r="L610" s="315">
        <f t="shared" si="108"/>
        <v>0</v>
      </c>
      <c r="M610" s="315">
        <v>0</v>
      </c>
      <c r="N610" s="315">
        <v>0</v>
      </c>
    </row>
    <row r="611" spans="1:14" s="314" customFormat="1" ht="14.85" customHeight="1">
      <c r="A611" s="1122"/>
      <c r="B611" s="1149"/>
      <c r="C611" s="1130"/>
      <c r="D611" s="1149"/>
      <c r="E611" s="1126"/>
      <c r="F611" s="1147"/>
      <c r="G611" s="317" t="s">
        <v>14</v>
      </c>
      <c r="H611" s="316">
        <f t="shared" si="106"/>
        <v>34200</v>
      </c>
      <c r="I611" s="315">
        <f t="shared" si="107"/>
        <v>34200</v>
      </c>
      <c r="J611" s="315">
        <v>21400</v>
      </c>
      <c r="K611" s="315">
        <v>12800</v>
      </c>
      <c r="L611" s="315">
        <f t="shared" si="108"/>
        <v>0</v>
      </c>
      <c r="M611" s="315">
        <v>0</v>
      </c>
      <c r="N611" s="315">
        <v>0</v>
      </c>
    </row>
    <row r="612" spans="1:14" s="314" customFormat="1" ht="14.85" customHeight="1">
      <c r="A612" s="1150"/>
      <c r="B612" s="1151"/>
      <c r="C612" s="1152"/>
      <c r="D612" s="1151"/>
      <c r="E612" s="1128"/>
      <c r="F612" s="1148"/>
      <c r="G612" s="317" t="s">
        <v>15</v>
      </c>
      <c r="H612" s="316">
        <f t="shared" si="106"/>
        <v>34200</v>
      </c>
      <c r="I612" s="315">
        <f t="shared" si="107"/>
        <v>34200</v>
      </c>
      <c r="J612" s="315">
        <f>J610+J611</f>
        <v>21400</v>
      </c>
      <c r="K612" s="315">
        <f>K610+K611</f>
        <v>12800</v>
      </c>
      <c r="L612" s="315">
        <f t="shared" si="108"/>
        <v>0</v>
      </c>
      <c r="M612" s="315">
        <f>M610+M611</f>
        <v>0</v>
      </c>
      <c r="N612" s="315">
        <f>N610+N611</f>
        <v>0</v>
      </c>
    </row>
    <row r="613" spans="1:14" s="314" customFormat="1" ht="14.1" customHeight="1">
      <c r="A613" s="1142"/>
      <c r="B613" s="1143"/>
      <c r="C613" s="1144"/>
      <c r="D613" s="1145"/>
      <c r="E613" s="1124" t="s">
        <v>553</v>
      </c>
      <c r="F613" s="1146"/>
      <c r="G613" s="317" t="s">
        <v>13</v>
      </c>
      <c r="H613" s="316">
        <f t="shared" si="106"/>
        <v>0</v>
      </c>
      <c r="I613" s="315">
        <f t="shared" si="107"/>
        <v>0</v>
      </c>
      <c r="J613" s="315">
        <v>0</v>
      </c>
      <c r="K613" s="315">
        <v>0</v>
      </c>
      <c r="L613" s="315">
        <f t="shared" si="108"/>
        <v>0</v>
      </c>
      <c r="M613" s="315">
        <v>0</v>
      </c>
      <c r="N613" s="315">
        <v>0</v>
      </c>
    </row>
    <row r="614" spans="1:14" s="314" customFormat="1" ht="14.1" customHeight="1">
      <c r="A614" s="1122"/>
      <c r="B614" s="1149"/>
      <c r="C614" s="1130"/>
      <c r="D614" s="1149"/>
      <c r="E614" s="1126"/>
      <c r="F614" s="1147"/>
      <c r="G614" s="317" t="s">
        <v>14</v>
      </c>
      <c r="H614" s="316">
        <f t="shared" si="106"/>
        <v>11700</v>
      </c>
      <c r="I614" s="315">
        <f t="shared" si="107"/>
        <v>11700</v>
      </c>
      <c r="J614" s="315">
        <v>0</v>
      </c>
      <c r="K614" s="315">
        <v>11700</v>
      </c>
      <c r="L614" s="315">
        <f t="shared" si="108"/>
        <v>0</v>
      </c>
      <c r="M614" s="315">
        <v>0</v>
      </c>
      <c r="N614" s="315">
        <v>0</v>
      </c>
    </row>
    <row r="615" spans="1:14" s="314" customFormat="1" ht="14.1" customHeight="1">
      <c r="A615" s="1122"/>
      <c r="B615" s="1149"/>
      <c r="C615" s="1130"/>
      <c r="D615" s="1149"/>
      <c r="E615" s="1128"/>
      <c r="F615" s="1148"/>
      <c r="G615" s="317" t="s">
        <v>15</v>
      </c>
      <c r="H615" s="316">
        <f t="shared" si="106"/>
        <v>11700</v>
      </c>
      <c r="I615" s="315">
        <f t="shared" si="107"/>
        <v>11700</v>
      </c>
      <c r="J615" s="315">
        <f>J613+J614</f>
        <v>0</v>
      </c>
      <c r="K615" s="315">
        <f>K613+K614</f>
        <v>11700</v>
      </c>
      <c r="L615" s="315">
        <f t="shared" si="108"/>
        <v>0</v>
      </c>
      <c r="M615" s="315">
        <f>M613+M614</f>
        <v>0</v>
      </c>
      <c r="N615" s="315">
        <f>N613+N614</f>
        <v>0</v>
      </c>
    </row>
    <row r="616" spans="1:14" s="314" customFormat="1" ht="14.1" customHeight="1">
      <c r="A616" s="1122"/>
      <c r="B616" s="1123"/>
      <c r="C616" s="1130"/>
      <c r="D616" s="1131"/>
      <c r="E616" s="1124" t="s">
        <v>552</v>
      </c>
      <c r="F616" s="1125"/>
      <c r="G616" s="324" t="s">
        <v>13</v>
      </c>
      <c r="H616" s="316">
        <f t="shared" si="106"/>
        <v>0</v>
      </c>
      <c r="I616" s="315">
        <f t="shared" si="107"/>
        <v>0</v>
      </c>
      <c r="J616" s="315">
        <v>0</v>
      </c>
      <c r="K616" s="315">
        <v>0</v>
      </c>
      <c r="L616" s="315">
        <f t="shared" si="108"/>
        <v>0</v>
      </c>
      <c r="M616" s="315">
        <v>0</v>
      </c>
      <c r="N616" s="315">
        <v>0</v>
      </c>
    </row>
    <row r="617" spans="1:14" s="314" customFormat="1" ht="14.1" customHeight="1">
      <c r="A617" s="1122"/>
      <c r="B617" s="1140"/>
      <c r="C617" s="1130"/>
      <c r="D617" s="1140"/>
      <c r="E617" s="1136"/>
      <c r="F617" s="1137"/>
      <c r="G617" s="324" t="s">
        <v>14</v>
      </c>
      <c r="H617" s="316">
        <f t="shared" si="106"/>
        <v>10000</v>
      </c>
      <c r="I617" s="315">
        <f t="shared" si="107"/>
        <v>10000</v>
      </c>
      <c r="J617" s="315">
        <v>0</v>
      </c>
      <c r="K617" s="315">
        <v>10000</v>
      </c>
      <c r="L617" s="315">
        <f t="shared" si="108"/>
        <v>0</v>
      </c>
      <c r="M617" s="315">
        <v>0</v>
      </c>
      <c r="N617" s="315">
        <v>0</v>
      </c>
    </row>
    <row r="618" spans="1:14" s="298" customFormat="1" ht="14.1" customHeight="1">
      <c r="A618" s="1132"/>
      <c r="B618" s="1141"/>
      <c r="C618" s="1134"/>
      <c r="D618" s="1141"/>
      <c r="E618" s="1138"/>
      <c r="F618" s="1139"/>
      <c r="G618" s="325" t="s">
        <v>15</v>
      </c>
      <c r="H618" s="316">
        <f t="shared" si="106"/>
        <v>10000</v>
      </c>
      <c r="I618" s="315">
        <f t="shared" si="107"/>
        <v>10000</v>
      </c>
      <c r="J618" s="315">
        <f>J616+J617</f>
        <v>0</v>
      </c>
      <c r="K618" s="315">
        <f>K616+K617</f>
        <v>10000</v>
      </c>
      <c r="L618" s="315">
        <f t="shared" si="108"/>
        <v>0</v>
      </c>
      <c r="M618" s="315">
        <f>M616+M617</f>
        <v>0</v>
      </c>
      <c r="N618" s="315">
        <f>N616+N617</f>
        <v>0</v>
      </c>
    </row>
    <row r="619" spans="1:14" s="314" customFormat="1" ht="15" hidden="1" customHeight="1">
      <c r="A619" s="1122"/>
      <c r="B619" s="1123"/>
      <c r="C619" s="1130"/>
      <c r="D619" s="1131"/>
      <c r="E619" s="1124" t="s">
        <v>551</v>
      </c>
      <c r="F619" s="1146"/>
      <c r="G619" s="317" t="s">
        <v>13</v>
      </c>
      <c r="H619" s="316">
        <f t="shared" si="106"/>
        <v>25000</v>
      </c>
      <c r="I619" s="315">
        <f t="shared" si="107"/>
        <v>25000</v>
      </c>
      <c r="J619" s="315">
        <v>25000</v>
      </c>
      <c r="K619" s="315">
        <v>0</v>
      </c>
      <c r="L619" s="315">
        <f t="shared" si="108"/>
        <v>0</v>
      </c>
      <c r="M619" s="315">
        <v>0</v>
      </c>
      <c r="N619" s="315">
        <v>0</v>
      </c>
    </row>
    <row r="620" spans="1:14" s="314" customFormat="1" ht="15" hidden="1" customHeight="1">
      <c r="A620" s="1122"/>
      <c r="B620" s="1172"/>
      <c r="C620" s="1130"/>
      <c r="D620" s="1172"/>
      <c r="E620" s="1126"/>
      <c r="F620" s="1147"/>
      <c r="G620" s="317" t="s">
        <v>14</v>
      </c>
      <c r="H620" s="316">
        <f t="shared" si="106"/>
        <v>0</v>
      </c>
      <c r="I620" s="315">
        <f t="shared" si="107"/>
        <v>0</v>
      </c>
      <c r="J620" s="315">
        <v>0</v>
      </c>
      <c r="K620" s="315">
        <v>0</v>
      </c>
      <c r="L620" s="315">
        <f t="shared" si="108"/>
        <v>0</v>
      </c>
      <c r="M620" s="315">
        <v>0</v>
      </c>
      <c r="N620" s="315">
        <v>0</v>
      </c>
    </row>
    <row r="621" spans="1:14" s="314" customFormat="1" ht="15" hidden="1" customHeight="1">
      <c r="A621" s="1122"/>
      <c r="B621" s="1172"/>
      <c r="C621" s="1130"/>
      <c r="D621" s="1172"/>
      <c r="E621" s="1128"/>
      <c r="F621" s="1148"/>
      <c r="G621" s="317" t="s">
        <v>15</v>
      </c>
      <c r="H621" s="316">
        <f t="shared" si="106"/>
        <v>25000</v>
      </c>
      <c r="I621" s="315">
        <f t="shared" si="107"/>
        <v>25000</v>
      </c>
      <c r="J621" s="315">
        <f>J619+J620</f>
        <v>25000</v>
      </c>
      <c r="K621" s="315">
        <f>K619+K620</f>
        <v>0</v>
      </c>
      <c r="L621" s="315">
        <f t="shared" si="108"/>
        <v>0</v>
      </c>
      <c r="M621" s="315">
        <f>M619+M620</f>
        <v>0</v>
      </c>
      <c r="N621" s="315">
        <f>N619+N620</f>
        <v>0</v>
      </c>
    </row>
    <row r="622" spans="1:14" s="314" customFormat="1" ht="15" hidden="1" customHeight="1">
      <c r="A622" s="1122"/>
      <c r="B622" s="1123"/>
      <c r="C622" s="1130"/>
      <c r="D622" s="1131"/>
      <c r="E622" s="1124" t="s">
        <v>550</v>
      </c>
      <c r="F622" s="1146"/>
      <c r="G622" s="317" t="s">
        <v>13</v>
      </c>
      <c r="H622" s="316">
        <f t="shared" si="106"/>
        <v>45000</v>
      </c>
      <c r="I622" s="315">
        <f t="shared" si="107"/>
        <v>45000</v>
      </c>
      <c r="J622" s="315">
        <v>0</v>
      </c>
      <c r="K622" s="315">
        <v>45000</v>
      </c>
      <c r="L622" s="315">
        <f t="shared" si="108"/>
        <v>0</v>
      </c>
      <c r="M622" s="315">
        <v>0</v>
      </c>
      <c r="N622" s="315">
        <v>0</v>
      </c>
    </row>
    <row r="623" spans="1:14" s="314" customFormat="1" ht="15" hidden="1" customHeight="1">
      <c r="A623" s="1122"/>
      <c r="B623" s="1172"/>
      <c r="C623" s="1130"/>
      <c r="D623" s="1172"/>
      <c r="E623" s="1126"/>
      <c r="F623" s="1147"/>
      <c r="G623" s="317" t="s">
        <v>14</v>
      </c>
      <c r="H623" s="316">
        <f t="shared" si="106"/>
        <v>0</v>
      </c>
      <c r="I623" s="315">
        <f t="shared" si="107"/>
        <v>0</v>
      </c>
      <c r="J623" s="315">
        <v>0</v>
      </c>
      <c r="K623" s="315">
        <v>0</v>
      </c>
      <c r="L623" s="315">
        <f t="shared" si="108"/>
        <v>0</v>
      </c>
      <c r="M623" s="315">
        <v>0</v>
      </c>
      <c r="N623" s="315">
        <v>0</v>
      </c>
    </row>
    <row r="624" spans="1:14" s="314" customFormat="1" ht="15" hidden="1" customHeight="1">
      <c r="A624" s="1122"/>
      <c r="B624" s="1172"/>
      <c r="C624" s="1130"/>
      <c r="D624" s="1172"/>
      <c r="E624" s="1128"/>
      <c r="F624" s="1148"/>
      <c r="G624" s="317" t="s">
        <v>15</v>
      </c>
      <c r="H624" s="316">
        <f t="shared" si="106"/>
        <v>45000</v>
      </c>
      <c r="I624" s="315">
        <f t="shared" si="107"/>
        <v>45000</v>
      </c>
      <c r="J624" s="315">
        <f>J622+J623</f>
        <v>0</v>
      </c>
      <c r="K624" s="315">
        <f>K622+K623</f>
        <v>45000</v>
      </c>
      <c r="L624" s="315">
        <f t="shared" si="108"/>
        <v>0</v>
      </c>
      <c r="M624" s="315">
        <f>M622+M623</f>
        <v>0</v>
      </c>
      <c r="N624" s="315">
        <f>N622+N623</f>
        <v>0</v>
      </c>
    </row>
    <row r="625" spans="1:14" s="314" customFormat="1" ht="14.1" customHeight="1">
      <c r="A625" s="1122"/>
      <c r="B625" s="1123"/>
      <c r="C625" s="1130"/>
      <c r="D625" s="1131"/>
      <c r="E625" s="1124" t="s">
        <v>549</v>
      </c>
      <c r="F625" s="1125"/>
      <c r="G625" s="324" t="s">
        <v>13</v>
      </c>
      <c r="H625" s="316">
        <f t="shared" si="106"/>
        <v>0</v>
      </c>
      <c r="I625" s="315">
        <f t="shared" si="107"/>
        <v>0</v>
      </c>
      <c r="J625" s="315">
        <v>0</v>
      </c>
      <c r="K625" s="315">
        <v>0</v>
      </c>
      <c r="L625" s="315">
        <f t="shared" si="108"/>
        <v>0</v>
      </c>
      <c r="M625" s="315">
        <v>0</v>
      </c>
      <c r="N625" s="315">
        <v>0</v>
      </c>
    </row>
    <row r="626" spans="1:14" s="314" customFormat="1" ht="14.1" customHeight="1">
      <c r="A626" s="1122"/>
      <c r="B626" s="1140"/>
      <c r="C626" s="1130"/>
      <c r="D626" s="1140"/>
      <c r="E626" s="1136"/>
      <c r="F626" s="1137"/>
      <c r="G626" s="324" t="s">
        <v>14</v>
      </c>
      <c r="H626" s="316">
        <f t="shared" si="106"/>
        <v>10000</v>
      </c>
      <c r="I626" s="315">
        <f t="shared" si="107"/>
        <v>10000</v>
      </c>
      <c r="J626" s="315">
        <v>0</v>
      </c>
      <c r="K626" s="315">
        <v>10000</v>
      </c>
      <c r="L626" s="315">
        <f t="shared" si="108"/>
        <v>0</v>
      </c>
      <c r="M626" s="315">
        <v>0</v>
      </c>
      <c r="N626" s="315">
        <v>0</v>
      </c>
    </row>
    <row r="627" spans="1:14" s="298" customFormat="1" ht="14.1" customHeight="1">
      <c r="A627" s="1132"/>
      <c r="B627" s="1141"/>
      <c r="C627" s="1134"/>
      <c r="D627" s="1141"/>
      <c r="E627" s="1138"/>
      <c r="F627" s="1139"/>
      <c r="G627" s="323" t="s">
        <v>15</v>
      </c>
      <c r="H627" s="320">
        <f t="shared" si="106"/>
        <v>10000</v>
      </c>
      <c r="I627" s="319">
        <f t="shared" si="107"/>
        <v>10000</v>
      </c>
      <c r="J627" s="319">
        <f>J625+J626</f>
        <v>0</v>
      </c>
      <c r="K627" s="319">
        <f>K625+K626</f>
        <v>10000</v>
      </c>
      <c r="L627" s="319">
        <f t="shared" si="108"/>
        <v>0</v>
      </c>
      <c r="M627" s="319">
        <f>M625+M626</f>
        <v>0</v>
      </c>
      <c r="N627" s="319">
        <f>N625+N626</f>
        <v>0</v>
      </c>
    </row>
    <row r="628" spans="1:14" s="314" customFormat="1" ht="14.1" customHeight="1">
      <c r="A628" s="1122"/>
      <c r="B628" s="1123"/>
      <c r="C628" s="1130"/>
      <c r="D628" s="1131"/>
      <c r="E628" s="1124" t="s">
        <v>548</v>
      </c>
      <c r="F628" s="1125"/>
      <c r="G628" s="324" t="s">
        <v>13</v>
      </c>
      <c r="H628" s="316">
        <f t="shared" si="106"/>
        <v>0</v>
      </c>
      <c r="I628" s="315">
        <f t="shared" si="107"/>
        <v>0</v>
      </c>
      <c r="J628" s="315">
        <v>0</v>
      </c>
      <c r="K628" s="315">
        <v>0</v>
      </c>
      <c r="L628" s="315">
        <f t="shared" si="108"/>
        <v>0</v>
      </c>
      <c r="M628" s="315">
        <v>0</v>
      </c>
      <c r="N628" s="315">
        <v>0</v>
      </c>
    </row>
    <row r="629" spans="1:14" s="314" customFormat="1" ht="14.1" customHeight="1">
      <c r="A629" s="1122"/>
      <c r="B629" s="1140"/>
      <c r="C629" s="1130"/>
      <c r="D629" s="1140"/>
      <c r="E629" s="1136"/>
      <c r="F629" s="1137"/>
      <c r="G629" s="324" t="s">
        <v>14</v>
      </c>
      <c r="H629" s="316">
        <f t="shared" si="106"/>
        <v>9000</v>
      </c>
      <c r="I629" s="315">
        <f t="shared" si="107"/>
        <v>9000</v>
      </c>
      <c r="J629" s="315">
        <v>0</v>
      </c>
      <c r="K629" s="315">
        <v>9000</v>
      </c>
      <c r="L629" s="315">
        <f t="shared" si="108"/>
        <v>0</v>
      </c>
      <c r="M629" s="315">
        <v>0</v>
      </c>
      <c r="N629" s="315">
        <v>0</v>
      </c>
    </row>
    <row r="630" spans="1:14" s="298" customFormat="1" ht="14.1" customHeight="1">
      <c r="A630" s="1132"/>
      <c r="B630" s="1141"/>
      <c r="C630" s="1134"/>
      <c r="D630" s="1141"/>
      <c r="E630" s="1138"/>
      <c r="F630" s="1139"/>
      <c r="G630" s="323" t="s">
        <v>15</v>
      </c>
      <c r="H630" s="320">
        <f t="shared" si="106"/>
        <v>9000</v>
      </c>
      <c r="I630" s="319">
        <f t="shared" si="107"/>
        <v>9000</v>
      </c>
      <c r="J630" s="319">
        <f>J628+J629</f>
        <v>0</v>
      </c>
      <c r="K630" s="319">
        <f>K628+K629</f>
        <v>9000</v>
      </c>
      <c r="L630" s="319">
        <f t="shared" si="108"/>
        <v>0</v>
      </c>
      <c r="M630" s="319">
        <f>M628+M629</f>
        <v>0</v>
      </c>
      <c r="N630" s="319">
        <f>N628+N629</f>
        <v>0</v>
      </c>
    </row>
    <row r="631" spans="1:14" s="314" customFormat="1" ht="14.1" customHeight="1">
      <c r="A631" s="1122"/>
      <c r="B631" s="1123"/>
      <c r="C631" s="1130"/>
      <c r="D631" s="1131"/>
      <c r="E631" s="1124" t="s">
        <v>547</v>
      </c>
      <c r="F631" s="1125"/>
      <c r="G631" s="324" t="s">
        <v>13</v>
      </c>
      <c r="H631" s="316">
        <f t="shared" si="106"/>
        <v>0</v>
      </c>
      <c r="I631" s="315">
        <f t="shared" si="107"/>
        <v>0</v>
      </c>
      <c r="J631" s="315">
        <v>0</v>
      </c>
      <c r="K631" s="315">
        <v>0</v>
      </c>
      <c r="L631" s="315">
        <f t="shared" si="108"/>
        <v>0</v>
      </c>
      <c r="M631" s="315">
        <v>0</v>
      </c>
      <c r="N631" s="315">
        <v>0</v>
      </c>
    </row>
    <row r="632" spans="1:14" s="314" customFormat="1" ht="14.1" customHeight="1">
      <c r="A632" s="1122"/>
      <c r="B632" s="1140"/>
      <c r="C632" s="1130"/>
      <c r="D632" s="1140"/>
      <c r="E632" s="1136"/>
      <c r="F632" s="1137"/>
      <c r="G632" s="324" t="s">
        <v>14</v>
      </c>
      <c r="H632" s="316">
        <f t="shared" si="106"/>
        <v>38600</v>
      </c>
      <c r="I632" s="315">
        <f t="shared" si="107"/>
        <v>38600</v>
      </c>
      <c r="J632" s="315">
        <v>0</v>
      </c>
      <c r="K632" s="315">
        <v>38600</v>
      </c>
      <c r="L632" s="315">
        <f t="shared" si="108"/>
        <v>0</v>
      </c>
      <c r="M632" s="315">
        <v>0</v>
      </c>
      <c r="N632" s="315">
        <v>0</v>
      </c>
    </row>
    <row r="633" spans="1:14" s="298" customFormat="1" ht="14.1" customHeight="1">
      <c r="A633" s="1132"/>
      <c r="B633" s="1141"/>
      <c r="C633" s="1134"/>
      <c r="D633" s="1141"/>
      <c r="E633" s="1138"/>
      <c r="F633" s="1139"/>
      <c r="G633" s="323" t="s">
        <v>15</v>
      </c>
      <c r="H633" s="320">
        <f t="shared" si="106"/>
        <v>38600</v>
      </c>
      <c r="I633" s="319">
        <f t="shared" si="107"/>
        <v>38600</v>
      </c>
      <c r="J633" s="319">
        <f>J631+J632</f>
        <v>0</v>
      </c>
      <c r="K633" s="319">
        <f>K631+K632</f>
        <v>38600</v>
      </c>
      <c r="L633" s="319">
        <f t="shared" si="108"/>
        <v>0</v>
      </c>
      <c r="M633" s="319">
        <f>M631+M632</f>
        <v>0</v>
      </c>
      <c r="N633" s="319">
        <f>N631+N632</f>
        <v>0</v>
      </c>
    </row>
    <row r="634" spans="1:14" s="314" customFormat="1" ht="14.1" customHeight="1">
      <c r="A634" s="1122"/>
      <c r="B634" s="1123"/>
      <c r="C634" s="1130"/>
      <c r="D634" s="1131"/>
      <c r="E634" s="1124" t="s">
        <v>546</v>
      </c>
      <c r="F634" s="1125"/>
      <c r="G634" s="324" t="s">
        <v>13</v>
      </c>
      <c r="H634" s="316">
        <f t="shared" si="106"/>
        <v>0</v>
      </c>
      <c r="I634" s="315">
        <f t="shared" si="107"/>
        <v>0</v>
      </c>
      <c r="J634" s="315">
        <v>0</v>
      </c>
      <c r="K634" s="315">
        <v>0</v>
      </c>
      <c r="L634" s="315">
        <f t="shared" si="108"/>
        <v>0</v>
      </c>
      <c r="M634" s="315">
        <v>0</v>
      </c>
      <c r="N634" s="315">
        <v>0</v>
      </c>
    </row>
    <row r="635" spans="1:14" s="314" customFormat="1" ht="14.1" customHeight="1">
      <c r="A635" s="1122"/>
      <c r="B635" s="1140"/>
      <c r="C635" s="1130"/>
      <c r="D635" s="1140"/>
      <c r="E635" s="1136"/>
      <c r="F635" s="1137"/>
      <c r="G635" s="324" t="s">
        <v>14</v>
      </c>
      <c r="H635" s="316">
        <f t="shared" si="106"/>
        <v>134000</v>
      </c>
      <c r="I635" s="315">
        <f t="shared" si="107"/>
        <v>134000</v>
      </c>
      <c r="J635" s="315">
        <v>134000</v>
      </c>
      <c r="K635" s="315">
        <v>0</v>
      </c>
      <c r="L635" s="315">
        <f t="shared" si="108"/>
        <v>0</v>
      </c>
      <c r="M635" s="315">
        <v>0</v>
      </c>
      <c r="N635" s="315">
        <v>0</v>
      </c>
    </row>
    <row r="636" spans="1:14" s="298" customFormat="1" ht="14.1" customHeight="1">
      <c r="A636" s="1132"/>
      <c r="B636" s="1141"/>
      <c r="C636" s="1134"/>
      <c r="D636" s="1141"/>
      <c r="E636" s="1138"/>
      <c r="F636" s="1139"/>
      <c r="G636" s="323" t="s">
        <v>15</v>
      </c>
      <c r="H636" s="320">
        <f t="shared" si="106"/>
        <v>134000</v>
      </c>
      <c r="I636" s="319">
        <f t="shared" si="107"/>
        <v>134000</v>
      </c>
      <c r="J636" s="319">
        <f>J634+J635</f>
        <v>134000</v>
      </c>
      <c r="K636" s="319">
        <f>K634+K635</f>
        <v>0</v>
      </c>
      <c r="L636" s="319">
        <f t="shared" si="108"/>
        <v>0</v>
      </c>
      <c r="M636" s="319">
        <f>M634+M635</f>
        <v>0</v>
      </c>
      <c r="N636" s="319">
        <f>N634+N635</f>
        <v>0</v>
      </c>
    </row>
    <row r="637" spans="1:14" s="298" customFormat="1" ht="15" hidden="1" customHeight="1">
      <c r="A637" s="1132"/>
      <c r="B637" s="1133"/>
      <c r="C637" s="1170" t="s">
        <v>288</v>
      </c>
      <c r="D637" s="1171"/>
      <c r="E637" s="1174" t="s">
        <v>545</v>
      </c>
      <c r="F637" s="1175"/>
      <c r="G637" s="317" t="s">
        <v>13</v>
      </c>
      <c r="H637" s="316">
        <f t="shared" si="106"/>
        <v>74000</v>
      </c>
      <c r="I637" s="315">
        <f t="shared" si="107"/>
        <v>74000</v>
      </c>
      <c r="J637" s="315">
        <v>0</v>
      </c>
      <c r="K637" s="315">
        <v>74000</v>
      </c>
      <c r="L637" s="315">
        <f t="shared" si="108"/>
        <v>0</v>
      </c>
      <c r="M637" s="315">
        <v>0</v>
      </c>
      <c r="N637" s="315">
        <v>0</v>
      </c>
    </row>
    <row r="638" spans="1:14" s="298" customFormat="1" ht="15" hidden="1" customHeight="1">
      <c r="A638" s="1132"/>
      <c r="B638" s="1172"/>
      <c r="C638" s="1134"/>
      <c r="D638" s="1172"/>
      <c r="E638" s="1176"/>
      <c r="F638" s="1177"/>
      <c r="G638" s="317" t="s">
        <v>14</v>
      </c>
      <c r="H638" s="316">
        <f t="shared" si="106"/>
        <v>0</v>
      </c>
      <c r="I638" s="315">
        <f t="shared" si="107"/>
        <v>0</v>
      </c>
      <c r="J638" s="315">
        <v>0</v>
      </c>
      <c r="K638" s="315">
        <v>0</v>
      </c>
      <c r="L638" s="315">
        <f t="shared" si="108"/>
        <v>0</v>
      </c>
      <c r="M638" s="315">
        <v>0</v>
      </c>
      <c r="N638" s="315">
        <v>0</v>
      </c>
    </row>
    <row r="639" spans="1:14" s="298" customFormat="1" ht="15" hidden="1" customHeight="1">
      <c r="A639" s="1132"/>
      <c r="B639" s="1172"/>
      <c r="C639" s="1134"/>
      <c r="D639" s="1172"/>
      <c r="E639" s="1178"/>
      <c r="F639" s="1179"/>
      <c r="G639" s="317" t="s">
        <v>15</v>
      </c>
      <c r="H639" s="316">
        <f t="shared" si="106"/>
        <v>74000</v>
      </c>
      <c r="I639" s="315">
        <f t="shared" si="107"/>
        <v>74000</v>
      </c>
      <c r="J639" s="315">
        <f>J637+J638</f>
        <v>0</v>
      </c>
      <c r="K639" s="315">
        <f>K637+K638</f>
        <v>74000</v>
      </c>
      <c r="L639" s="315">
        <f t="shared" si="108"/>
        <v>0</v>
      </c>
      <c r="M639" s="315">
        <f>M637+M638</f>
        <v>0</v>
      </c>
      <c r="N639" s="315">
        <f>N637+N638</f>
        <v>0</v>
      </c>
    </row>
    <row r="640" spans="1:14" s="314" customFormat="1" ht="14.25" customHeight="1">
      <c r="A640" s="1122"/>
      <c r="B640" s="1123"/>
      <c r="C640" s="1144" t="s">
        <v>288</v>
      </c>
      <c r="D640" s="1145"/>
      <c r="E640" s="1124" t="s">
        <v>544</v>
      </c>
      <c r="F640" s="1146"/>
      <c r="G640" s="317" t="s">
        <v>13</v>
      </c>
      <c r="H640" s="316">
        <f t="shared" si="106"/>
        <v>171996</v>
      </c>
      <c r="I640" s="315">
        <f t="shared" si="107"/>
        <v>171996</v>
      </c>
      <c r="J640" s="315">
        <v>171996</v>
      </c>
      <c r="K640" s="315">
        <v>0</v>
      </c>
      <c r="L640" s="315">
        <f t="shared" si="108"/>
        <v>0</v>
      </c>
      <c r="M640" s="315">
        <v>0</v>
      </c>
      <c r="N640" s="315">
        <v>0</v>
      </c>
    </row>
    <row r="641" spans="1:14" s="314" customFormat="1" ht="14.25" customHeight="1">
      <c r="A641" s="1122"/>
      <c r="B641" s="1172"/>
      <c r="C641" s="1130"/>
      <c r="D641" s="1172"/>
      <c r="E641" s="1126"/>
      <c r="F641" s="1147"/>
      <c r="G641" s="317" t="s">
        <v>14</v>
      </c>
      <c r="H641" s="316">
        <f t="shared" si="106"/>
        <v>-171996</v>
      </c>
      <c r="I641" s="315">
        <f t="shared" si="107"/>
        <v>-171996</v>
      </c>
      <c r="J641" s="315">
        <v>-171996</v>
      </c>
      <c r="K641" s="315">
        <v>0</v>
      </c>
      <c r="L641" s="315">
        <f t="shared" si="108"/>
        <v>0</v>
      </c>
      <c r="M641" s="315">
        <v>0</v>
      </c>
      <c r="N641" s="315">
        <v>0</v>
      </c>
    </row>
    <row r="642" spans="1:14" s="314" customFormat="1" ht="14.25" customHeight="1">
      <c r="A642" s="1122"/>
      <c r="B642" s="1172"/>
      <c r="C642" s="1130"/>
      <c r="D642" s="1172"/>
      <c r="E642" s="1128"/>
      <c r="F642" s="1148"/>
      <c r="G642" s="317" t="s">
        <v>15</v>
      </c>
      <c r="H642" s="316">
        <f t="shared" si="106"/>
        <v>0</v>
      </c>
      <c r="I642" s="315">
        <f t="shared" si="107"/>
        <v>0</v>
      </c>
      <c r="J642" s="315">
        <f>J640+J641</f>
        <v>0</v>
      </c>
      <c r="K642" s="315">
        <f>K640+K641</f>
        <v>0</v>
      </c>
      <c r="L642" s="315">
        <f t="shared" si="108"/>
        <v>0</v>
      </c>
      <c r="M642" s="315">
        <f>M640+M641</f>
        <v>0</v>
      </c>
      <c r="N642" s="315">
        <f>N640+N641</f>
        <v>0</v>
      </c>
    </row>
    <row r="643" spans="1:14" s="314" customFormat="1" ht="15" hidden="1" customHeight="1">
      <c r="A643" s="1122"/>
      <c r="B643" s="1123"/>
      <c r="C643" s="1130"/>
      <c r="D643" s="1131"/>
      <c r="E643" s="1124" t="s">
        <v>543</v>
      </c>
      <c r="F643" s="1146"/>
      <c r="G643" s="317" t="s">
        <v>13</v>
      </c>
      <c r="H643" s="316">
        <f t="shared" si="106"/>
        <v>170660</v>
      </c>
      <c r="I643" s="315">
        <f t="shared" si="107"/>
        <v>170660</v>
      </c>
      <c r="J643" s="315">
        <v>170660</v>
      </c>
      <c r="K643" s="315">
        <v>0</v>
      </c>
      <c r="L643" s="315">
        <f t="shared" si="108"/>
        <v>0</v>
      </c>
      <c r="M643" s="315">
        <v>0</v>
      </c>
      <c r="N643" s="315">
        <v>0</v>
      </c>
    </row>
    <row r="644" spans="1:14" s="314" customFormat="1" ht="15" hidden="1" customHeight="1">
      <c r="A644" s="1122"/>
      <c r="B644" s="1172"/>
      <c r="C644" s="1130"/>
      <c r="D644" s="1172"/>
      <c r="E644" s="1126"/>
      <c r="F644" s="1147"/>
      <c r="G644" s="317" t="s">
        <v>14</v>
      </c>
      <c r="H644" s="316">
        <f t="shared" si="106"/>
        <v>0</v>
      </c>
      <c r="I644" s="315">
        <f t="shared" si="107"/>
        <v>0</v>
      </c>
      <c r="J644" s="315">
        <v>0</v>
      </c>
      <c r="K644" s="315">
        <v>0</v>
      </c>
      <c r="L644" s="315">
        <f t="shared" si="108"/>
        <v>0</v>
      </c>
      <c r="M644" s="315">
        <v>0</v>
      </c>
      <c r="N644" s="315">
        <v>0</v>
      </c>
    </row>
    <row r="645" spans="1:14" s="314" customFormat="1" ht="15" hidden="1" customHeight="1">
      <c r="A645" s="1122"/>
      <c r="B645" s="1172"/>
      <c r="C645" s="1130"/>
      <c r="D645" s="1172"/>
      <c r="E645" s="1128"/>
      <c r="F645" s="1148"/>
      <c r="G645" s="317" t="s">
        <v>15</v>
      </c>
      <c r="H645" s="316">
        <f t="shared" si="106"/>
        <v>170660</v>
      </c>
      <c r="I645" s="315">
        <f t="shared" si="107"/>
        <v>170660</v>
      </c>
      <c r="J645" s="315">
        <f>J643+J644</f>
        <v>170660</v>
      </c>
      <c r="K645" s="315">
        <f>K643+K644</f>
        <v>0</v>
      </c>
      <c r="L645" s="315">
        <f t="shared" si="108"/>
        <v>0</v>
      </c>
      <c r="M645" s="315">
        <f>M643+M644</f>
        <v>0</v>
      </c>
      <c r="N645" s="315">
        <f>N643+N644</f>
        <v>0</v>
      </c>
    </row>
    <row r="646" spans="1:14" s="314" customFormat="1" ht="14.25" customHeight="1">
      <c r="A646" s="1122"/>
      <c r="B646" s="1123"/>
      <c r="C646" s="1130"/>
      <c r="D646" s="1131"/>
      <c r="E646" s="1124" t="s">
        <v>542</v>
      </c>
      <c r="F646" s="1125"/>
      <c r="G646" s="322" t="s">
        <v>13</v>
      </c>
      <c r="H646" s="316">
        <f t="shared" si="106"/>
        <v>0</v>
      </c>
      <c r="I646" s="315">
        <f t="shared" si="107"/>
        <v>0</v>
      </c>
      <c r="J646" s="315">
        <v>0</v>
      </c>
      <c r="K646" s="315">
        <v>0</v>
      </c>
      <c r="L646" s="315">
        <f t="shared" si="108"/>
        <v>0</v>
      </c>
      <c r="M646" s="315">
        <v>0</v>
      </c>
      <c r="N646" s="315">
        <v>0</v>
      </c>
    </row>
    <row r="647" spans="1:14" s="314" customFormat="1" ht="14.25" customHeight="1">
      <c r="A647" s="1122"/>
      <c r="B647" s="1123"/>
      <c r="C647" s="1130"/>
      <c r="D647" s="1131"/>
      <c r="E647" s="1126"/>
      <c r="F647" s="1127"/>
      <c r="G647" s="322" t="s">
        <v>14</v>
      </c>
      <c r="H647" s="316">
        <f t="shared" si="106"/>
        <v>298772</v>
      </c>
      <c r="I647" s="315">
        <f t="shared" si="107"/>
        <v>298772</v>
      </c>
      <c r="J647" s="315">
        <v>298772</v>
      </c>
      <c r="K647" s="315">
        <v>0</v>
      </c>
      <c r="L647" s="315">
        <f t="shared" si="108"/>
        <v>0</v>
      </c>
      <c r="M647" s="315">
        <v>0</v>
      </c>
      <c r="N647" s="315">
        <v>0</v>
      </c>
    </row>
    <row r="648" spans="1:14" s="298" customFormat="1" ht="14.25" customHeight="1">
      <c r="A648" s="1132"/>
      <c r="B648" s="1133"/>
      <c r="C648" s="1134"/>
      <c r="D648" s="1135"/>
      <c r="E648" s="1128"/>
      <c r="F648" s="1129"/>
      <c r="G648" s="321" t="s">
        <v>15</v>
      </c>
      <c r="H648" s="320">
        <f t="shared" si="106"/>
        <v>298772</v>
      </c>
      <c r="I648" s="319">
        <f t="shared" si="107"/>
        <v>298772</v>
      </c>
      <c r="J648" s="319">
        <f>J646+J647</f>
        <v>298772</v>
      </c>
      <c r="K648" s="319">
        <f>K646+K647</f>
        <v>0</v>
      </c>
      <c r="L648" s="319">
        <f t="shared" si="108"/>
        <v>0</v>
      </c>
      <c r="M648" s="319">
        <f>M646+M647</f>
        <v>0</v>
      </c>
      <c r="N648" s="319">
        <f>N646+N647</f>
        <v>0</v>
      </c>
    </row>
    <row r="649" spans="1:14" s="314" customFormat="1" ht="14.25" customHeight="1">
      <c r="A649" s="1122"/>
      <c r="B649" s="1123"/>
      <c r="C649" s="1130"/>
      <c r="D649" s="1131"/>
      <c r="E649" s="1124" t="s">
        <v>541</v>
      </c>
      <c r="F649" s="1125"/>
      <c r="G649" s="322" t="s">
        <v>13</v>
      </c>
      <c r="H649" s="316">
        <f t="shared" si="106"/>
        <v>0</v>
      </c>
      <c r="I649" s="315">
        <f t="shared" si="107"/>
        <v>0</v>
      </c>
      <c r="J649" s="315">
        <v>0</v>
      </c>
      <c r="K649" s="315">
        <v>0</v>
      </c>
      <c r="L649" s="315">
        <f t="shared" si="108"/>
        <v>0</v>
      </c>
      <c r="M649" s="315">
        <v>0</v>
      </c>
      <c r="N649" s="315">
        <v>0</v>
      </c>
    </row>
    <row r="650" spans="1:14" s="314" customFormat="1" ht="14.25" customHeight="1">
      <c r="A650" s="1122"/>
      <c r="B650" s="1123"/>
      <c r="C650" s="1130"/>
      <c r="D650" s="1131"/>
      <c r="E650" s="1126"/>
      <c r="F650" s="1127"/>
      <c r="G650" s="322" t="s">
        <v>14</v>
      </c>
      <c r="H650" s="316">
        <f t="shared" si="106"/>
        <v>40950</v>
      </c>
      <c r="I650" s="315">
        <f t="shared" si="107"/>
        <v>40950</v>
      </c>
      <c r="J650" s="315">
        <v>0</v>
      </c>
      <c r="K650" s="315">
        <v>40950</v>
      </c>
      <c r="L650" s="315">
        <f t="shared" si="108"/>
        <v>0</v>
      </c>
      <c r="M650" s="315">
        <v>0</v>
      </c>
      <c r="N650" s="315">
        <v>0</v>
      </c>
    </row>
    <row r="651" spans="1:14" s="298" customFormat="1" ht="14.25" customHeight="1">
      <c r="A651" s="1132"/>
      <c r="B651" s="1133"/>
      <c r="C651" s="1134"/>
      <c r="D651" s="1135"/>
      <c r="E651" s="1128"/>
      <c r="F651" s="1129"/>
      <c r="G651" s="321" t="s">
        <v>15</v>
      </c>
      <c r="H651" s="320">
        <f t="shared" si="106"/>
        <v>40950</v>
      </c>
      <c r="I651" s="319">
        <f t="shared" si="107"/>
        <v>40950</v>
      </c>
      <c r="J651" s="319">
        <f>J649+J650</f>
        <v>0</v>
      </c>
      <c r="K651" s="319">
        <f>K649+K650</f>
        <v>40950</v>
      </c>
      <c r="L651" s="319">
        <f t="shared" si="108"/>
        <v>0</v>
      </c>
      <c r="M651" s="319">
        <f>M649+M650</f>
        <v>0</v>
      </c>
      <c r="N651" s="319">
        <f>N649+N650</f>
        <v>0</v>
      </c>
    </row>
    <row r="652" spans="1:14" s="314" customFormat="1" ht="15" hidden="1" customHeight="1">
      <c r="A652" s="1122"/>
      <c r="B652" s="1123"/>
      <c r="C652" s="1130"/>
      <c r="D652" s="1131"/>
      <c r="E652" s="1124" t="s">
        <v>540</v>
      </c>
      <c r="F652" s="1146"/>
      <c r="G652" s="317" t="s">
        <v>13</v>
      </c>
      <c r="H652" s="316">
        <f t="shared" si="106"/>
        <v>327496</v>
      </c>
      <c r="I652" s="315">
        <f t="shared" si="107"/>
        <v>327496</v>
      </c>
      <c r="J652" s="315">
        <v>327496</v>
      </c>
      <c r="K652" s="315">
        <v>0</v>
      </c>
      <c r="L652" s="315">
        <f t="shared" si="108"/>
        <v>0</v>
      </c>
      <c r="M652" s="315">
        <v>0</v>
      </c>
      <c r="N652" s="315">
        <v>0</v>
      </c>
    </row>
    <row r="653" spans="1:14" s="314" customFormat="1" ht="15" hidden="1" customHeight="1">
      <c r="A653" s="1122"/>
      <c r="B653" s="1172"/>
      <c r="C653" s="1130"/>
      <c r="D653" s="1172"/>
      <c r="E653" s="1126"/>
      <c r="F653" s="1147"/>
      <c r="G653" s="317" t="s">
        <v>14</v>
      </c>
      <c r="H653" s="316">
        <f t="shared" si="106"/>
        <v>0</v>
      </c>
      <c r="I653" s="315">
        <f t="shared" si="107"/>
        <v>0</v>
      </c>
      <c r="J653" s="315">
        <v>0</v>
      </c>
      <c r="K653" s="315">
        <v>0</v>
      </c>
      <c r="L653" s="315">
        <f t="shared" si="108"/>
        <v>0</v>
      </c>
      <c r="M653" s="315">
        <v>0</v>
      </c>
      <c r="N653" s="315">
        <v>0</v>
      </c>
    </row>
    <row r="654" spans="1:14" s="314" customFormat="1" ht="15" hidden="1" customHeight="1">
      <c r="A654" s="1122"/>
      <c r="B654" s="1172"/>
      <c r="C654" s="1130"/>
      <c r="D654" s="1172"/>
      <c r="E654" s="1128"/>
      <c r="F654" s="1148"/>
      <c r="G654" s="317" t="s">
        <v>15</v>
      </c>
      <c r="H654" s="316">
        <f t="shared" si="106"/>
        <v>327496</v>
      </c>
      <c r="I654" s="315">
        <f t="shared" si="107"/>
        <v>327496</v>
      </c>
      <c r="J654" s="315">
        <f>J652+J653</f>
        <v>327496</v>
      </c>
      <c r="K654" s="315">
        <f>K652+K653</f>
        <v>0</v>
      </c>
      <c r="L654" s="315">
        <f t="shared" si="108"/>
        <v>0</v>
      </c>
      <c r="M654" s="315">
        <f>M652+M653</f>
        <v>0</v>
      </c>
      <c r="N654" s="315">
        <f>N652+N653</f>
        <v>0</v>
      </c>
    </row>
    <row r="655" spans="1:14" s="314" customFormat="1" ht="15" hidden="1" customHeight="1">
      <c r="A655" s="1122"/>
      <c r="B655" s="1123"/>
      <c r="C655" s="1130"/>
      <c r="D655" s="1131"/>
      <c r="E655" s="1124" t="s">
        <v>539</v>
      </c>
      <c r="F655" s="1146"/>
      <c r="G655" s="317" t="s">
        <v>13</v>
      </c>
      <c r="H655" s="316">
        <f t="shared" si="106"/>
        <v>150000</v>
      </c>
      <c r="I655" s="315">
        <f t="shared" si="107"/>
        <v>150000</v>
      </c>
      <c r="J655" s="315">
        <v>150000</v>
      </c>
      <c r="K655" s="315">
        <v>0</v>
      </c>
      <c r="L655" s="315">
        <f t="shared" si="108"/>
        <v>0</v>
      </c>
      <c r="M655" s="315">
        <v>0</v>
      </c>
      <c r="N655" s="315">
        <v>0</v>
      </c>
    </row>
    <row r="656" spans="1:14" s="314" customFormat="1" ht="15" hidden="1" customHeight="1">
      <c r="A656" s="1122"/>
      <c r="B656" s="1172"/>
      <c r="C656" s="1130"/>
      <c r="D656" s="1172"/>
      <c r="E656" s="1126"/>
      <c r="F656" s="1147"/>
      <c r="G656" s="317" t="s">
        <v>14</v>
      </c>
      <c r="H656" s="316">
        <f t="shared" si="106"/>
        <v>0</v>
      </c>
      <c r="I656" s="315">
        <f t="shared" si="107"/>
        <v>0</v>
      </c>
      <c r="J656" s="315">
        <v>0</v>
      </c>
      <c r="K656" s="315">
        <v>0</v>
      </c>
      <c r="L656" s="315">
        <f t="shared" si="108"/>
        <v>0</v>
      </c>
      <c r="M656" s="315">
        <v>0</v>
      </c>
      <c r="N656" s="315">
        <v>0</v>
      </c>
    </row>
    <row r="657" spans="1:14" s="314" customFormat="1" ht="15" hidden="1" customHeight="1">
      <c r="A657" s="1122"/>
      <c r="B657" s="1172"/>
      <c r="C657" s="1130"/>
      <c r="D657" s="1172"/>
      <c r="E657" s="1128"/>
      <c r="F657" s="1148"/>
      <c r="G657" s="317" t="s">
        <v>15</v>
      </c>
      <c r="H657" s="316">
        <f t="shared" si="106"/>
        <v>150000</v>
      </c>
      <c r="I657" s="315">
        <f t="shared" si="107"/>
        <v>150000</v>
      </c>
      <c r="J657" s="315">
        <f>J655+J656</f>
        <v>150000</v>
      </c>
      <c r="K657" s="315">
        <f>K655+K656</f>
        <v>0</v>
      </c>
      <c r="L657" s="315">
        <f t="shared" si="108"/>
        <v>0</v>
      </c>
      <c r="M657" s="315">
        <f>M655+M656</f>
        <v>0</v>
      </c>
      <c r="N657" s="315">
        <f>N655+N656</f>
        <v>0</v>
      </c>
    </row>
    <row r="658" spans="1:14" s="314" customFormat="1" ht="14.25" customHeight="1">
      <c r="A658" s="1122"/>
      <c r="B658" s="1123"/>
      <c r="C658" s="1130"/>
      <c r="D658" s="1131"/>
      <c r="E658" s="1124" t="s">
        <v>538</v>
      </c>
      <c r="F658" s="1146"/>
      <c r="G658" s="317" t="s">
        <v>13</v>
      </c>
      <c r="H658" s="316">
        <f t="shared" si="106"/>
        <v>0</v>
      </c>
      <c r="I658" s="315">
        <f t="shared" si="107"/>
        <v>0</v>
      </c>
      <c r="J658" s="315">
        <v>0</v>
      </c>
      <c r="K658" s="315">
        <v>0</v>
      </c>
      <c r="L658" s="315">
        <f t="shared" si="108"/>
        <v>0</v>
      </c>
      <c r="M658" s="315">
        <v>0</v>
      </c>
      <c r="N658" s="315">
        <v>0</v>
      </c>
    </row>
    <row r="659" spans="1:14" s="314" customFormat="1" ht="14.25" customHeight="1">
      <c r="A659" s="1122"/>
      <c r="B659" s="1172"/>
      <c r="C659" s="1130"/>
      <c r="D659" s="1172"/>
      <c r="E659" s="1126"/>
      <c r="F659" s="1147"/>
      <c r="G659" s="317" t="s">
        <v>14</v>
      </c>
      <c r="H659" s="316">
        <f t="shared" si="106"/>
        <v>90000</v>
      </c>
      <c r="I659" s="315">
        <f t="shared" si="107"/>
        <v>90000</v>
      </c>
      <c r="J659" s="315">
        <v>0</v>
      </c>
      <c r="K659" s="315">
        <v>90000</v>
      </c>
      <c r="L659" s="315">
        <f t="shared" si="108"/>
        <v>0</v>
      </c>
      <c r="M659" s="315">
        <v>0</v>
      </c>
      <c r="N659" s="315">
        <v>0</v>
      </c>
    </row>
    <row r="660" spans="1:14" s="314" customFormat="1" ht="14.25" customHeight="1">
      <c r="A660" s="1122"/>
      <c r="B660" s="1172"/>
      <c r="C660" s="1130"/>
      <c r="D660" s="1172"/>
      <c r="E660" s="1128"/>
      <c r="F660" s="1148"/>
      <c r="G660" s="317" t="s">
        <v>15</v>
      </c>
      <c r="H660" s="316">
        <f t="shared" si="106"/>
        <v>90000</v>
      </c>
      <c r="I660" s="315">
        <f t="shared" si="107"/>
        <v>90000</v>
      </c>
      <c r="J660" s="315">
        <f>J658+J659</f>
        <v>0</v>
      </c>
      <c r="K660" s="315">
        <f>K658+K659</f>
        <v>90000</v>
      </c>
      <c r="L660" s="315">
        <f t="shared" si="108"/>
        <v>0</v>
      </c>
      <c r="M660" s="315">
        <f>M658+M659</f>
        <v>0</v>
      </c>
      <c r="N660" s="315">
        <f>N658+N659</f>
        <v>0</v>
      </c>
    </row>
    <row r="661" spans="1:14" s="314" customFormat="1" ht="14.25" customHeight="1">
      <c r="A661" s="1122"/>
      <c r="B661" s="1123"/>
      <c r="C661" s="1130"/>
      <c r="D661" s="1131"/>
      <c r="E661" s="1124" t="s">
        <v>537</v>
      </c>
      <c r="F661" s="1146"/>
      <c r="G661" s="317" t="s">
        <v>13</v>
      </c>
      <c r="H661" s="316">
        <f t="shared" si="106"/>
        <v>0</v>
      </c>
      <c r="I661" s="315">
        <f t="shared" si="107"/>
        <v>0</v>
      </c>
      <c r="J661" s="315">
        <v>0</v>
      </c>
      <c r="K661" s="315">
        <v>0</v>
      </c>
      <c r="L661" s="315">
        <f t="shared" si="108"/>
        <v>0</v>
      </c>
      <c r="M661" s="315">
        <v>0</v>
      </c>
      <c r="N661" s="315">
        <v>0</v>
      </c>
    </row>
    <row r="662" spans="1:14" s="314" customFormat="1" ht="14.25" customHeight="1">
      <c r="A662" s="1122"/>
      <c r="B662" s="1172"/>
      <c r="C662" s="1130"/>
      <c r="D662" s="1172"/>
      <c r="E662" s="1126"/>
      <c r="F662" s="1147"/>
      <c r="G662" s="317" t="s">
        <v>14</v>
      </c>
      <c r="H662" s="316">
        <f t="shared" ref="H662:H699" si="109">I662+L662</f>
        <v>12850</v>
      </c>
      <c r="I662" s="315">
        <f t="shared" ref="I662:I699" si="110">J662+K662</f>
        <v>12850</v>
      </c>
      <c r="J662" s="315">
        <v>0</v>
      </c>
      <c r="K662" s="315">
        <v>12850</v>
      </c>
      <c r="L662" s="315">
        <f t="shared" ref="L662:L699" si="111">M662+N662</f>
        <v>0</v>
      </c>
      <c r="M662" s="315">
        <v>0</v>
      </c>
      <c r="N662" s="315">
        <v>0</v>
      </c>
    </row>
    <row r="663" spans="1:14" s="314" customFormat="1" ht="14.25" customHeight="1">
      <c r="A663" s="1122"/>
      <c r="B663" s="1172"/>
      <c r="C663" s="1152"/>
      <c r="D663" s="1173"/>
      <c r="E663" s="1128"/>
      <c r="F663" s="1148"/>
      <c r="G663" s="317" t="s">
        <v>15</v>
      </c>
      <c r="H663" s="316">
        <f t="shared" si="109"/>
        <v>12850</v>
      </c>
      <c r="I663" s="315">
        <f t="shared" si="110"/>
        <v>12850</v>
      </c>
      <c r="J663" s="315">
        <f>J661+J662</f>
        <v>0</v>
      </c>
      <c r="K663" s="315">
        <f>K661+K662</f>
        <v>12850</v>
      </c>
      <c r="L663" s="315">
        <f t="shared" si="111"/>
        <v>0</v>
      </c>
      <c r="M663" s="315">
        <f>M661+M662</f>
        <v>0</v>
      </c>
      <c r="N663" s="315">
        <f>N661+N662</f>
        <v>0</v>
      </c>
    </row>
    <row r="664" spans="1:14" s="298" customFormat="1" ht="15" hidden="1" customHeight="1">
      <c r="A664" s="1132"/>
      <c r="B664" s="1133"/>
      <c r="C664" s="1170" t="s">
        <v>536</v>
      </c>
      <c r="D664" s="1171"/>
      <c r="E664" s="1174" t="s">
        <v>535</v>
      </c>
      <c r="F664" s="1175"/>
      <c r="G664" s="318" t="s">
        <v>13</v>
      </c>
      <c r="H664" s="316">
        <f t="shared" si="109"/>
        <v>1125000</v>
      </c>
      <c r="I664" s="315">
        <f t="shared" si="110"/>
        <v>225000</v>
      </c>
      <c r="J664" s="315">
        <v>0</v>
      </c>
      <c r="K664" s="315">
        <v>225000</v>
      </c>
      <c r="L664" s="315">
        <f t="shared" si="111"/>
        <v>900000</v>
      </c>
      <c r="M664" s="315">
        <v>0</v>
      </c>
      <c r="N664" s="315">
        <v>900000</v>
      </c>
    </row>
    <row r="665" spans="1:14" s="298" customFormat="1" ht="15" hidden="1" customHeight="1">
      <c r="A665" s="1132"/>
      <c r="B665" s="1172"/>
      <c r="C665" s="1134"/>
      <c r="D665" s="1172"/>
      <c r="E665" s="1176"/>
      <c r="F665" s="1177"/>
      <c r="G665" s="318" t="s">
        <v>14</v>
      </c>
      <c r="H665" s="316">
        <f t="shared" si="109"/>
        <v>0</v>
      </c>
      <c r="I665" s="315">
        <f t="shared" si="110"/>
        <v>0</v>
      </c>
      <c r="J665" s="315">
        <v>0</v>
      </c>
      <c r="K665" s="315">
        <v>0</v>
      </c>
      <c r="L665" s="315">
        <f t="shared" si="111"/>
        <v>0</v>
      </c>
      <c r="M665" s="315">
        <v>0</v>
      </c>
      <c r="N665" s="315">
        <v>0</v>
      </c>
    </row>
    <row r="666" spans="1:14" s="298" customFormat="1" ht="15" hidden="1" customHeight="1">
      <c r="A666" s="1132"/>
      <c r="B666" s="1172"/>
      <c r="C666" s="1180"/>
      <c r="D666" s="1173"/>
      <c r="E666" s="1178"/>
      <c r="F666" s="1179"/>
      <c r="G666" s="318" t="s">
        <v>15</v>
      </c>
      <c r="H666" s="316">
        <f t="shared" si="109"/>
        <v>1125000</v>
      </c>
      <c r="I666" s="315">
        <f t="shared" si="110"/>
        <v>225000</v>
      </c>
      <c r="J666" s="315">
        <f>J664+J665</f>
        <v>0</v>
      </c>
      <c r="K666" s="315">
        <f>K664+K665</f>
        <v>225000</v>
      </c>
      <c r="L666" s="315">
        <f t="shared" si="111"/>
        <v>900000</v>
      </c>
      <c r="M666" s="315">
        <f>M664+M665</f>
        <v>0</v>
      </c>
      <c r="N666" s="315">
        <f>N664+N665</f>
        <v>900000</v>
      </c>
    </row>
    <row r="667" spans="1:14" s="314" customFormat="1" ht="15" hidden="1" customHeight="1">
      <c r="A667" s="1122"/>
      <c r="B667" s="1123"/>
      <c r="C667" s="1144" t="s">
        <v>294</v>
      </c>
      <c r="D667" s="1145"/>
      <c r="E667" s="1124" t="s">
        <v>534</v>
      </c>
      <c r="F667" s="1146"/>
      <c r="G667" s="317" t="s">
        <v>13</v>
      </c>
      <c r="H667" s="316">
        <f t="shared" si="109"/>
        <v>1100000</v>
      </c>
      <c r="I667" s="315">
        <f t="shared" si="110"/>
        <v>0</v>
      </c>
      <c r="J667" s="315">
        <v>0</v>
      </c>
      <c r="K667" s="315">
        <v>0</v>
      </c>
      <c r="L667" s="315">
        <f t="shared" si="111"/>
        <v>1100000</v>
      </c>
      <c r="M667" s="315">
        <v>0</v>
      </c>
      <c r="N667" s="315">
        <v>1100000</v>
      </c>
    </row>
    <row r="668" spans="1:14" s="314" customFormat="1" ht="15" hidden="1" customHeight="1">
      <c r="A668" s="1122"/>
      <c r="B668" s="1172"/>
      <c r="C668" s="1130"/>
      <c r="D668" s="1172"/>
      <c r="E668" s="1126"/>
      <c r="F668" s="1147"/>
      <c r="G668" s="317" t="s">
        <v>14</v>
      </c>
      <c r="H668" s="316">
        <f t="shared" si="109"/>
        <v>0</v>
      </c>
      <c r="I668" s="315">
        <f t="shared" si="110"/>
        <v>0</v>
      </c>
      <c r="J668" s="315">
        <v>0</v>
      </c>
      <c r="K668" s="315">
        <v>0</v>
      </c>
      <c r="L668" s="315">
        <f t="shared" si="111"/>
        <v>0</v>
      </c>
      <c r="M668" s="315">
        <v>0</v>
      </c>
      <c r="N668" s="315">
        <v>0</v>
      </c>
    </row>
    <row r="669" spans="1:14" s="314" customFormat="1" ht="15" hidden="1" customHeight="1">
      <c r="A669" s="1122"/>
      <c r="B669" s="1172"/>
      <c r="C669" s="1130"/>
      <c r="D669" s="1172"/>
      <c r="E669" s="1128"/>
      <c r="F669" s="1148"/>
      <c r="G669" s="317" t="s">
        <v>15</v>
      </c>
      <c r="H669" s="316">
        <f t="shared" si="109"/>
        <v>1100000</v>
      </c>
      <c r="I669" s="315">
        <f t="shared" si="110"/>
        <v>0</v>
      </c>
      <c r="J669" s="315">
        <f>J667+J668</f>
        <v>0</v>
      </c>
      <c r="K669" s="315">
        <f>K667+K668</f>
        <v>0</v>
      </c>
      <c r="L669" s="315">
        <f t="shared" si="111"/>
        <v>1100000</v>
      </c>
      <c r="M669" s="315">
        <f>M667+M668</f>
        <v>0</v>
      </c>
      <c r="N669" s="315">
        <f>N667+N668</f>
        <v>1100000</v>
      </c>
    </row>
    <row r="670" spans="1:14" s="298" customFormat="1" ht="15" hidden="1" customHeight="1">
      <c r="A670" s="1132"/>
      <c r="B670" s="1133"/>
      <c r="C670" s="1134"/>
      <c r="D670" s="1135"/>
      <c r="E670" s="1124" t="s">
        <v>533</v>
      </c>
      <c r="F670" s="1146"/>
      <c r="G670" s="317" t="s">
        <v>13</v>
      </c>
      <c r="H670" s="316">
        <f t="shared" si="109"/>
        <v>370000</v>
      </c>
      <c r="I670" s="315">
        <f t="shared" si="110"/>
        <v>370000</v>
      </c>
      <c r="J670" s="315">
        <v>0</v>
      </c>
      <c r="K670" s="315">
        <v>370000</v>
      </c>
      <c r="L670" s="315">
        <f t="shared" si="111"/>
        <v>0</v>
      </c>
      <c r="M670" s="315">
        <v>0</v>
      </c>
      <c r="N670" s="315">
        <v>0</v>
      </c>
    </row>
    <row r="671" spans="1:14" s="298" customFormat="1" ht="15" hidden="1" customHeight="1">
      <c r="A671" s="1132"/>
      <c r="B671" s="1172"/>
      <c r="C671" s="1134"/>
      <c r="D671" s="1172"/>
      <c r="E671" s="1126"/>
      <c r="F671" s="1147"/>
      <c r="G671" s="317" t="s">
        <v>14</v>
      </c>
      <c r="H671" s="316">
        <f t="shared" si="109"/>
        <v>0</v>
      </c>
      <c r="I671" s="315">
        <f t="shared" si="110"/>
        <v>0</v>
      </c>
      <c r="J671" s="315">
        <v>0</v>
      </c>
      <c r="K671" s="315">
        <v>0</v>
      </c>
      <c r="L671" s="315">
        <f t="shared" si="111"/>
        <v>0</v>
      </c>
      <c r="M671" s="315">
        <v>0</v>
      </c>
      <c r="N671" s="315">
        <v>0</v>
      </c>
    </row>
    <row r="672" spans="1:14" s="298" customFormat="1" ht="15" hidden="1" customHeight="1">
      <c r="A672" s="1132"/>
      <c r="B672" s="1172"/>
      <c r="C672" s="1134"/>
      <c r="D672" s="1172"/>
      <c r="E672" s="1128"/>
      <c r="F672" s="1148"/>
      <c r="G672" s="317" t="s">
        <v>15</v>
      </c>
      <c r="H672" s="316">
        <f t="shared" si="109"/>
        <v>370000</v>
      </c>
      <c r="I672" s="315">
        <f t="shared" si="110"/>
        <v>370000</v>
      </c>
      <c r="J672" s="315">
        <f>J670+J671</f>
        <v>0</v>
      </c>
      <c r="K672" s="315">
        <f>K670+K671</f>
        <v>370000</v>
      </c>
      <c r="L672" s="315">
        <f t="shared" si="111"/>
        <v>0</v>
      </c>
      <c r="M672" s="315">
        <f>M670+M671</f>
        <v>0</v>
      </c>
      <c r="N672" s="315">
        <f>N670+N671</f>
        <v>0</v>
      </c>
    </row>
    <row r="673" spans="1:14" s="314" customFormat="1" ht="15" hidden="1" customHeight="1">
      <c r="A673" s="1122"/>
      <c r="B673" s="1123"/>
      <c r="C673" s="1130"/>
      <c r="D673" s="1131"/>
      <c r="E673" s="1124" t="s">
        <v>532</v>
      </c>
      <c r="F673" s="1146"/>
      <c r="G673" s="317" t="s">
        <v>13</v>
      </c>
      <c r="H673" s="316">
        <f t="shared" si="109"/>
        <v>50000</v>
      </c>
      <c r="I673" s="315">
        <f t="shared" si="110"/>
        <v>50000</v>
      </c>
      <c r="J673" s="315">
        <v>0</v>
      </c>
      <c r="K673" s="315">
        <v>50000</v>
      </c>
      <c r="L673" s="315">
        <f t="shared" si="111"/>
        <v>0</v>
      </c>
      <c r="M673" s="315">
        <v>0</v>
      </c>
      <c r="N673" s="315">
        <v>0</v>
      </c>
    </row>
    <row r="674" spans="1:14" s="314" customFormat="1" ht="15" hidden="1" customHeight="1">
      <c r="A674" s="1122"/>
      <c r="B674" s="1172"/>
      <c r="C674" s="1130"/>
      <c r="D674" s="1172"/>
      <c r="E674" s="1126"/>
      <c r="F674" s="1147"/>
      <c r="G674" s="317" t="s">
        <v>14</v>
      </c>
      <c r="H674" s="316">
        <f t="shared" si="109"/>
        <v>0</v>
      </c>
      <c r="I674" s="315">
        <f t="shared" si="110"/>
        <v>0</v>
      </c>
      <c r="J674" s="315">
        <v>0</v>
      </c>
      <c r="K674" s="315">
        <v>0</v>
      </c>
      <c r="L674" s="315">
        <f t="shared" si="111"/>
        <v>0</v>
      </c>
      <c r="M674" s="315">
        <v>0</v>
      </c>
      <c r="N674" s="315">
        <v>0</v>
      </c>
    </row>
    <row r="675" spans="1:14" s="314" customFormat="1" ht="15" hidden="1" customHeight="1">
      <c r="A675" s="1122"/>
      <c r="B675" s="1172"/>
      <c r="C675" s="1130"/>
      <c r="D675" s="1172"/>
      <c r="E675" s="1128"/>
      <c r="F675" s="1148"/>
      <c r="G675" s="317" t="s">
        <v>15</v>
      </c>
      <c r="H675" s="316">
        <f t="shared" si="109"/>
        <v>50000</v>
      </c>
      <c r="I675" s="315">
        <f t="shared" si="110"/>
        <v>50000</v>
      </c>
      <c r="J675" s="315">
        <f>J673+J674</f>
        <v>0</v>
      </c>
      <c r="K675" s="315">
        <f>K673+K674</f>
        <v>50000</v>
      </c>
      <c r="L675" s="315">
        <f t="shared" si="111"/>
        <v>0</v>
      </c>
      <c r="M675" s="315">
        <f>M673+M674</f>
        <v>0</v>
      </c>
      <c r="N675" s="315">
        <f>N673+N674</f>
        <v>0</v>
      </c>
    </row>
    <row r="676" spans="1:14" s="314" customFormat="1" ht="15" hidden="1" customHeight="1">
      <c r="A676" s="1122"/>
      <c r="B676" s="1123"/>
      <c r="C676" s="1130"/>
      <c r="D676" s="1131"/>
      <c r="E676" s="1124" t="s">
        <v>531</v>
      </c>
      <c r="F676" s="1146"/>
      <c r="G676" s="317" t="s">
        <v>13</v>
      </c>
      <c r="H676" s="316">
        <f t="shared" si="109"/>
        <v>640000</v>
      </c>
      <c r="I676" s="315">
        <f t="shared" si="110"/>
        <v>640000</v>
      </c>
      <c r="J676" s="315">
        <v>0</v>
      </c>
      <c r="K676" s="315">
        <v>640000</v>
      </c>
      <c r="L676" s="315">
        <f t="shared" si="111"/>
        <v>0</v>
      </c>
      <c r="M676" s="315">
        <v>0</v>
      </c>
      <c r="N676" s="315">
        <v>0</v>
      </c>
    </row>
    <row r="677" spans="1:14" s="314" customFormat="1" ht="15" hidden="1" customHeight="1">
      <c r="A677" s="1122"/>
      <c r="B677" s="1172"/>
      <c r="C677" s="1130"/>
      <c r="D677" s="1172"/>
      <c r="E677" s="1126"/>
      <c r="F677" s="1147"/>
      <c r="G677" s="317" t="s">
        <v>14</v>
      </c>
      <c r="H677" s="316">
        <f t="shared" si="109"/>
        <v>0</v>
      </c>
      <c r="I677" s="315">
        <f t="shared" si="110"/>
        <v>0</v>
      </c>
      <c r="J677" s="315">
        <v>0</v>
      </c>
      <c r="K677" s="315">
        <v>0</v>
      </c>
      <c r="L677" s="315">
        <f t="shared" si="111"/>
        <v>0</v>
      </c>
      <c r="M677" s="315">
        <v>0</v>
      </c>
      <c r="N677" s="315">
        <v>0</v>
      </c>
    </row>
    <row r="678" spans="1:14" s="314" customFormat="1" ht="15" hidden="1" customHeight="1">
      <c r="A678" s="1122"/>
      <c r="B678" s="1172"/>
      <c r="C678" s="1130"/>
      <c r="D678" s="1172"/>
      <c r="E678" s="1128"/>
      <c r="F678" s="1148"/>
      <c r="G678" s="317" t="s">
        <v>15</v>
      </c>
      <c r="H678" s="316">
        <f t="shared" si="109"/>
        <v>640000</v>
      </c>
      <c r="I678" s="315">
        <f t="shared" si="110"/>
        <v>640000</v>
      </c>
      <c r="J678" s="315">
        <f>J676+J677</f>
        <v>0</v>
      </c>
      <c r="K678" s="315">
        <f>K676+K677</f>
        <v>640000</v>
      </c>
      <c r="L678" s="315">
        <f t="shared" si="111"/>
        <v>0</v>
      </c>
      <c r="M678" s="315">
        <f>M676+M677</f>
        <v>0</v>
      </c>
      <c r="N678" s="315">
        <f>N676+N677</f>
        <v>0</v>
      </c>
    </row>
    <row r="679" spans="1:14" s="314" customFormat="1" ht="15" hidden="1" customHeight="1">
      <c r="A679" s="1122"/>
      <c r="B679" s="1123"/>
      <c r="C679" s="1130"/>
      <c r="D679" s="1131"/>
      <c r="E679" s="1124" t="s">
        <v>530</v>
      </c>
      <c r="F679" s="1146"/>
      <c r="G679" s="317" t="s">
        <v>13</v>
      </c>
      <c r="H679" s="316">
        <f t="shared" si="109"/>
        <v>450000</v>
      </c>
      <c r="I679" s="315">
        <f t="shared" si="110"/>
        <v>450000</v>
      </c>
      <c r="J679" s="315">
        <v>0</v>
      </c>
      <c r="K679" s="315">
        <v>450000</v>
      </c>
      <c r="L679" s="315">
        <f t="shared" si="111"/>
        <v>0</v>
      </c>
      <c r="M679" s="315">
        <v>0</v>
      </c>
      <c r="N679" s="315">
        <v>0</v>
      </c>
    </row>
    <row r="680" spans="1:14" s="314" customFormat="1" ht="15" hidden="1" customHeight="1">
      <c r="A680" s="1122"/>
      <c r="B680" s="1172"/>
      <c r="C680" s="1130"/>
      <c r="D680" s="1172"/>
      <c r="E680" s="1126"/>
      <c r="F680" s="1147"/>
      <c r="G680" s="317" t="s">
        <v>14</v>
      </c>
      <c r="H680" s="316">
        <f t="shared" si="109"/>
        <v>0</v>
      </c>
      <c r="I680" s="315">
        <f t="shared" si="110"/>
        <v>0</v>
      </c>
      <c r="J680" s="315">
        <v>0</v>
      </c>
      <c r="K680" s="315">
        <v>0</v>
      </c>
      <c r="L680" s="315">
        <f t="shared" si="111"/>
        <v>0</v>
      </c>
      <c r="M680" s="315">
        <v>0</v>
      </c>
      <c r="N680" s="315">
        <v>0</v>
      </c>
    </row>
    <row r="681" spans="1:14" s="314" customFormat="1" ht="15" hidden="1" customHeight="1">
      <c r="A681" s="1122"/>
      <c r="B681" s="1123"/>
      <c r="C681" s="1130"/>
      <c r="D681" s="1131"/>
      <c r="E681" s="1128"/>
      <c r="F681" s="1148"/>
      <c r="G681" s="317" t="s">
        <v>15</v>
      </c>
      <c r="H681" s="316">
        <f t="shared" si="109"/>
        <v>450000</v>
      </c>
      <c r="I681" s="315">
        <f t="shared" si="110"/>
        <v>450000</v>
      </c>
      <c r="J681" s="315">
        <f>J679+J680</f>
        <v>0</v>
      </c>
      <c r="K681" s="315">
        <f>K679+K680</f>
        <v>450000</v>
      </c>
      <c r="L681" s="315">
        <f t="shared" si="111"/>
        <v>0</v>
      </c>
      <c r="M681" s="315">
        <f>M679+M680</f>
        <v>0</v>
      </c>
      <c r="N681" s="315">
        <f>N679+N680</f>
        <v>0</v>
      </c>
    </row>
    <row r="682" spans="1:14" s="314" customFormat="1" ht="15" hidden="1" customHeight="1">
      <c r="A682" s="1122"/>
      <c r="B682" s="1123"/>
      <c r="C682" s="1130"/>
      <c r="D682" s="1131"/>
      <c r="E682" s="1124" t="s">
        <v>529</v>
      </c>
      <c r="F682" s="1146"/>
      <c r="G682" s="317" t="s">
        <v>13</v>
      </c>
      <c r="H682" s="316">
        <f t="shared" si="109"/>
        <v>450000</v>
      </c>
      <c r="I682" s="315">
        <f t="shared" si="110"/>
        <v>450000</v>
      </c>
      <c r="J682" s="315">
        <v>0</v>
      </c>
      <c r="K682" s="315">
        <v>450000</v>
      </c>
      <c r="L682" s="315">
        <f t="shared" si="111"/>
        <v>0</v>
      </c>
      <c r="M682" s="315">
        <v>0</v>
      </c>
      <c r="N682" s="315">
        <v>0</v>
      </c>
    </row>
    <row r="683" spans="1:14" s="314" customFormat="1" ht="15" hidden="1" customHeight="1">
      <c r="A683" s="1122"/>
      <c r="B683" s="1123"/>
      <c r="C683" s="1130"/>
      <c r="D683" s="1131"/>
      <c r="E683" s="1126"/>
      <c r="F683" s="1147"/>
      <c r="G683" s="317" t="s">
        <v>14</v>
      </c>
      <c r="H683" s="316">
        <f t="shared" si="109"/>
        <v>0</v>
      </c>
      <c r="I683" s="315">
        <f t="shared" si="110"/>
        <v>0</v>
      </c>
      <c r="J683" s="315">
        <v>0</v>
      </c>
      <c r="K683" s="315">
        <v>0</v>
      </c>
      <c r="L683" s="315">
        <f t="shared" si="111"/>
        <v>0</v>
      </c>
      <c r="M683" s="315">
        <v>0</v>
      </c>
      <c r="N683" s="315">
        <v>0</v>
      </c>
    </row>
    <row r="684" spans="1:14" s="314" customFormat="1" ht="15" hidden="1" customHeight="1">
      <c r="A684" s="1122"/>
      <c r="B684" s="1123"/>
      <c r="C684" s="1130"/>
      <c r="D684" s="1131"/>
      <c r="E684" s="1128"/>
      <c r="F684" s="1148"/>
      <c r="G684" s="317" t="s">
        <v>15</v>
      </c>
      <c r="H684" s="316">
        <f t="shared" si="109"/>
        <v>450000</v>
      </c>
      <c r="I684" s="315">
        <f t="shared" si="110"/>
        <v>450000</v>
      </c>
      <c r="J684" s="315">
        <f>J682+J683</f>
        <v>0</v>
      </c>
      <c r="K684" s="315">
        <f>K682+K683</f>
        <v>450000</v>
      </c>
      <c r="L684" s="315">
        <f t="shared" si="111"/>
        <v>0</v>
      </c>
      <c r="M684" s="315">
        <f>M682+M683</f>
        <v>0</v>
      </c>
      <c r="N684" s="315">
        <f>N682+N683</f>
        <v>0</v>
      </c>
    </row>
    <row r="685" spans="1:14" s="314" customFormat="1" ht="15" hidden="1" customHeight="1">
      <c r="A685" s="1122"/>
      <c r="B685" s="1123"/>
      <c r="C685" s="1130"/>
      <c r="D685" s="1131"/>
      <c r="E685" s="1124" t="s">
        <v>528</v>
      </c>
      <c r="F685" s="1146"/>
      <c r="G685" s="317" t="s">
        <v>13</v>
      </c>
      <c r="H685" s="316">
        <f t="shared" si="109"/>
        <v>130000</v>
      </c>
      <c r="I685" s="315">
        <f t="shared" si="110"/>
        <v>130000</v>
      </c>
      <c r="J685" s="315">
        <v>0</v>
      </c>
      <c r="K685" s="315">
        <v>130000</v>
      </c>
      <c r="L685" s="315">
        <f t="shared" si="111"/>
        <v>0</v>
      </c>
      <c r="M685" s="315">
        <v>0</v>
      </c>
      <c r="N685" s="315">
        <v>0</v>
      </c>
    </row>
    <row r="686" spans="1:14" s="314" customFormat="1" ht="15" hidden="1" customHeight="1">
      <c r="A686" s="1122"/>
      <c r="B686" s="1123"/>
      <c r="C686" s="1130"/>
      <c r="D686" s="1131"/>
      <c r="E686" s="1126"/>
      <c r="F686" s="1147"/>
      <c r="G686" s="317" t="s">
        <v>14</v>
      </c>
      <c r="H686" s="316">
        <f t="shared" si="109"/>
        <v>0</v>
      </c>
      <c r="I686" s="315">
        <f t="shared" si="110"/>
        <v>0</v>
      </c>
      <c r="J686" s="315">
        <v>0</v>
      </c>
      <c r="K686" s="315">
        <v>0</v>
      </c>
      <c r="L686" s="315">
        <f t="shared" si="111"/>
        <v>0</v>
      </c>
      <c r="M686" s="315">
        <v>0</v>
      </c>
      <c r="N686" s="315">
        <v>0</v>
      </c>
    </row>
    <row r="687" spans="1:14" s="314" customFormat="1" ht="15" hidden="1" customHeight="1">
      <c r="A687" s="1150"/>
      <c r="B687" s="1154"/>
      <c r="C687" s="1152"/>
      <c r="D687" s="1155"/>
      <c r="E687" s="1128"/>
      <c r="F687" s="1148"/>
      <c r="G687" s="317" t="s">
        <v>15</v>
      </c>
      <c r="H687" s="316">
        <f t="shared" si="109"/>
        <v>130000</v>
      </c>
      <c r="I687" s="315">
        <f t="shared" si="110"/>
        <v>130000</v>
      </c>
      <c r="J687" s="315">
        <f>J685+J686</f>
        <v>0</v>
      </c>
      <c r="K687" s="315">
        <f>K685+K686</f>
        <v>130000</v>
      </c>
      <c r="L687" s="315">
        <f t="shared" si="111"/>
        <v>0</v>
      </c>
      <c r="M687" s="315">
        <f>M685+M686</f>
        <v>0</v>
      </c>
      <c r="N687" s="315">
        <f>N685+N686</f>
        <v>0</v>
      </c>
    </row>
    <row r="688" spans="1:14" s="298" customFormat="1" ht="15" hidden="1" customHeight="1">
      <c r="A688" s="1168" t="s">
        <v>296</v>
      </c>
      <c r="B688" s="1169"/>
      <c r="C688" s="1170" t="s">
        <v>298</v>
      </c>
      <c r="D688" s="1171"/>
      <c r="E688" s="1124" t="s">
        <v>527</v>
      </c>
      <c r="F688" s="1146"/>
      <c r="G688" s="317" t="s">
        <v>13</v>
      </c>
      <c r="H688" s="316">
        <f t="shared" si="109"/>
        <v>2100000</v>
      </c>
      <c r="I688" s="315">
        <f t="shared" si="110"/>
        <v>0</v>
      </c>
      <c r="J688" s="315">
        <v>0</v>
      </c>
      <c r="K688" s="315">
        <v>0</v>
      </c>
      <c r="L688" s="315">
        <f t="shared" si="111"/>
        <v>2100000</v>
      </c>
      <c r="M688" s="315">
        <v>0</v>
      </c>
      <c r="N688" s="315">
        <v>2100000</v>
      </c>
    </row>
    <row r="689" spans="1:14" s="298" customFormat="1" ht="15" hidden="1" customHeight="1">
      <c r="A689" s="1132"/>
      <c r="B689" s="1133"/>
      <c r="C689" s="1134"/>
      <c r="D689" s="1135"/>
      <c r="E689" s="1126"/>
      <c r="F689" s="1147"/>
      <c r="G689" s="317" t="s">
        <v>14</v>
      </c>
      <c r="H689" s="316">
        <f t="shared" si="109"/>
        <v>0</v>
      </c>
      <c r="I689" s="315">
        <f t="shared" si="110"/>
        <v>0</v>
      </c>
      <c r="J689" s="315">
        <v>0</v>
      </c>
      <c r="K689" s="315">
        <v>0</v>
      </c>
      <c r="L689" s="315">
        <f t="shared" si="111"/>
        <v>0</v>
      </c>
      <c r="M689" s="315">
        <v>0</v>
      </c>
      <c r="N689" s="315">
        <v>0</v>
      </c>
    </row>
    <row r="690" spans="1:14" s="298" customFormat="1" ht="15" hidden="1" customHeight="1">
      <c r="A690" s="1132"/>
      <c r="B690" s="1133"/>
      <c r="C690" s="1134"/>
      <c r="D690" s="1135"/>
      <c r="E690" s="1128"/>
      <c r="F690" s="1148"/>
      <c r="G690" s="317" t="s">
        <v>15</v>
      </c>
      <c r="H690" s="316">
        <f t="shared" si="109"/>
        <v>2100000</v>
      </c>
      <c r="I690" s="315">
        <f t="shared" si="110"/>
        <v>0</v>
      </c>
      <c r="J690" s="315">
        <f>J688+J689</f>
        <v>0</v>
      </c>
      <c r="K690" s="315">
        <f>K688+K689</f>
        <v>0</v>
      </c>
      <c r="L690" s="315">
        <f t="shared" si="111"/>
        <v>2100000</v>
      </c>
      <c r="M690" s="315">
        <f>M688+M689</f>
        <v>0</v>
      </c>
      <c r="N690" s="315">
        <f>N688+N689</f>
        <v>2100000</v>
      </c>
    </row>
    <row r="691" spans="1:14" s="298" customFormat="1" ht="15" hidden="1" customHeight="1">
      <c r="A691" s="1132"/>
      <c r="B691" s="1133"/>
      <c r="C691" s="1134"/>
      <c r="D691" s="1135"/>
      <c r="E691" s="1124" t="s">
        <v>526</v>
      </c>
      <c r="F691" s="1146"/>
      <c r="G691" s="317" t="s">
        <v>13</v>
      </c>
      <c r="H691" s="316">
        <f t="shared" si="109"/>
        <v>700000</v>
      </c>
      <c r="I691" s="315">
        <f t="shared" si="110"/>
        <v>0</v>
      </c>
      <c r="J691" s="315">
        <v>0</v>
      </c>
      <c r="K691" s="315">
        <v>0</v>
      </c>
      <c r="L691" s="315">
        <f t="shared" si="111"/>
        <v>700000</v>
      </c>
      <c r="M691" s="315">
        <v>0</v>
      </c>
      <c r="N691" s="315">
        <v>700000</v>
      </c>
    </row>
    <row r="692" spans="1:14" s="298" customFormat="1" ht="15" hidden="1" customHeight="1">
      <c r="A692" s="1132"/>
      <c r="B692" s="1133"/>
      <c r="C692" s="1134"/>
      <c r="D692" s="1135"/>
      <c r="E692" s="1126"/>
      <c r="F692" s="1147"/>
      <c r="G692" s="317" t="s">
        <v>14</v>
      </c>
      <c r="H692" s="316">
        <f t="shared" si="109"/>
        <v>0</v>
      </c>
      <c r="I692" s="315">
        <f t="shared" si="110"/>
        <v>0</v>
      </c>
      <c r="J692" s="315">
        <v>0</v>
      </c>
      <c r="K692" s="315">
        <v>0</v>
      </c>
      <c r="L692" s="315">
        <f t="shared" si="111"/>
        <v>0</v>
      </c>
      <c r="M692" s="315">
        <v>0</v>
      </c>
      <c r="N692" s="315">
        <v>0</v>
      </c>
    </row>
    <row r="693" spans="1:14" s="298" customFormat="1" ht="15" hidden="1" customHeight="1">
      <c r="A693" s="1132"/>
      <c r="B693" s="1133"/>
      <c r="C693" s="1134"/>
      <c r="D693" s="1135"/>
      <c r="E693" s="1128"/>
      <c r="F693" s="1148"/>
      <c r="G693" s="317" t="s">
        <v>15</v>
      </c>
      <c r="H693" s="316">
        <f t="shared" si="109"/>
        <v>700000</v>
      </c>
      <c r="I693" s="315">
        <f t="shared" si="110"/>
        <v>0</v>
      </c>
      <c r="J693" s="315">
        <f>J691+J692</f>
        <v>0</v>
      </c>
      <c r="K693" s="315">
        <f>K691+K692</f>
        <v>0</v>
      </c>
      <c r="L693" s="315">
        <f t="shared" si="111"/>
        <v>700000</v>
      </c>
      <c r="M693" s="315">
        <f>M691+M692</f>
        <v>0</v>
      </c>
      <c r="N693" s="315">
        <f>N691+N692</f>
        <v>700000</v>
      </c>
    </row>
    <row r="694" spans="1:14" s="298" customFormat="1" ht="15" hidden="1" customHeight="1">
      <c r="A694" s="1132"/>
      <c r="B694" s="1133"/>
      <c r="C694" s="1134"/>
      <c r="D694" s="1135"/>
      <c r="E694" s="1124" t="s">
        <v>525</v>
      </c>
      <c r="F694" s="1146"/>
      <c r="G694" s="317" t="s">
        <v>13</v>
      </c>
      <c r="H694" s="316">
        <f t="shared" si="109"/>
        <v>1300000</v>
      </c>
      <c r="I694" s="315">
        <f t="shared" si="110"/>
        <v>0</v>
      </c>
      <c r="J694" s="315">
        <v>0</v>
      </c>
      <c r="K694" s="315">
        <v>0</v>
      </c>
      <c r="L694" s="315">
        <f t="shared" si="111"/>
        <v>1300000</v>
      </c>
      <c r="M694" s="315">
        <v>0</v>
      </c>
      <c r="N694" s="315">
        <v>1300000</v>
      </c>
    </row>
    <row r="695" spans="1:14" s="298" customFormat="1" ht="15" hidden="1" customHeight="1">
      <c r="A695" s="1132"/>
      <c r="B695" s="1133"/>
      <c r="C695" s="1134"/>
      <c r="D695" s="1135"/>
      <c r="E695" s="1126"/>
      <c r="F695" s="1147"/>
      <c r="G695" s="317" t="s">
        <v>14</v>
      </c>
      <c r="H695" s="316">
        <f t="shared" si="109"/>
        <v>0</v>
      </c>
      <c r="I695" s="315">
        <f t="shared" si="110"/>
        <v>0</v>
      </c>
      <c r="J695" s="315">
        <v>0</v>
      </c>
      <c r="K695" s="315">
        <v>0</v>
      </c>
      <c r="L695" s="315">
        <f t="shared" si="111"/>
        <v>0</v>
      </c>
      <c r="M695" s="315">
        <v>0</v>
      </c>
      <c r="N695" s="315">
        <v>0</v>
      </c>
    </row>
    <row r="696" spans="1:14" s="298" customFormat="1" ht="15" hidden="1" customHeight="1">
      <c r="A696" s="1132"/>
      <c r="B696" s="1133"/>
      <c r="C696" s="1134"/>
      <c r="D696" s="1135"/>
      <c r="E696" s="1128"/>
      <c r="F696" s="1148"/>
      <c r="G696" s="317" t="s">
        <v>15</v>
      </c>
      <c r="H696" s="316">
        <f t="shared" si="109"/>
        <v>1300000</v>
      </c>
      <c r="I696" s="315">
        <f t="shared" si="110"/>
        <v>0</v>
      </c>
      <c r="J696" s="315">
        <f>J694+J695</f>
        <v>0</v>
      </c>
      <c r="K696" s="315">
        <f>K694+K695</f>
        <v>0</v>
      </c>
      <c r="L696" s="315">
        <f t="shared" si="111"/>
        <v>1300000</v>
      </c>
      <c r="M696" s="315">
        <f>M694+M695</f>
        <v>0</v>
      </c>
      <c r="N696" s="315">
        <f>N694+N695</f>
        <v>1300000</v>
      </c>
    </row>
    <row r="697" spans="1:14" s="314" customFormat="1" ht="15" hidden="1" customHeight="1">
      <c r="A697" s="1122"/>
      <c r="B697" s="1153"/>
      <c r="C697" s="1130"/>
      <c r="D697" s="1131"/>
      <c r="E697" s="1124" t="s">
        <v>524</v>
      </c>
      <c r="F697" s="1146"/>
      <c r="G697" s="317" t="s">
        <v>13</v>
      </c>
      <c r="H697" s="316">
        <f t="shared" si="109"/>
        <v>2000000</v>
      </c>
      <c r="I697" s="315">
        <f t="shared" si="110"/>
        <v>2000000</v>
      </c>
      <c r="J697" s="315">
        <v>2000000</v>
      </c>
      <c r="K697" s="315">
        <v>0</v>
      </c>
      <c r="L697" s="315">
        <f t="shared" si="111"/>
        <v>0</v>
      </c>
      <c r="M697" s="315">
        <v>0</v>
      </c>
      <c r="N697" s="315">
        <v>0</v>
      </c>
    </row>
    <row r="698" spans="1:14" s="314" customFormat="1" ht="15" hidden="1" customHeight="1">
      <c r="A698" s="1122"/>
      <c r="B698" s="1123"/>
      <c r="C698" s="1130"/>
      <c r="D698" s="1131"/>
      <c r="E698" s="1126"/>
      <c r="F698" s="1147"/>
      <c r="G698" s="317" t="s">
        <v>14</v>
      </c>
      <c r="H698" s="316">
        <f t="shared" si="109"/>
        <v>0</v>
      </c>
      <c r="I698" s="315">
        <f t="shared" si="110"/>
        <v>0</v>
      </c>
      <c r="J698" s="315">
        <v>0</v>
      </c>
      <c r="K698" s="315">
        <v>0</v>
      </c>
      <c r="L698" s="315">
        <f t="shared" si="111"/>
        <v>0</v>
      </c>
      <c r="M698" s="315">
        <v>0</v>
      </c>
      <c r="N698" s="315">
        <v>0</v>
      </c>
    </row>
    <row r="699" spans="1:14" s="314" customFormat="1" ht="15" hidden="1" customHeight="1">
      <c r="A699" s="1150"/>
      <c r="B699" s="1154"/>
      <c r="C699" s="1152"/>
      <c r="D699" s="1155"/>
      <c r="E699" s="1128"/>
      <c r="F699" s="1148"/>
      <c r="G699" s="317" t="s">
        <v>15</v>
      </c>
      <c r="H699" s="316">
        <f t="shared" si="109"/>
        <v>2000000</v>
      </c>
      <c r="I699" s="315">
        <f t="shared" si="110"/>
        <v>2000000</v>
      </c>
      <c r="J699" s="315">
        <f>J697+J698</f>
        <v>2000000</v>
      </c>
      <c r="K699" s="315">
        <f>K697+K698</f>
        <v>0</v>
      </c>
      <c r="L699" s="315">
        <f t="shared" si="111"/>
        <v>0</v>
      </c>
      <c r="M699" s="315">
        <f>M697+M698</f>
        <v>0</v>
      </c>
      <c r="N699" s="315">
        <f>N697+N698</f>
        <v>0</v>
      </c>
    </row>
    <row r="700" spans="1:14" s="307" customFormat="1" ht="3.75" customHeight="1">
      <c r="A700" s="313"/>
      <c r="B700" s="312"/>
      <c r="C700" s="312"/>
      <c r="D700" s="312"/>
      <c r="E700" s="312"/>
      <c r="F700" s="312"/>
      <c r="G700" s="311"/>
      <c r="H700" s="310"/>
      <c r="I700" s="309"/>
      <c r="J700" s="309"/>
      <c r="K700" s="309"/>
      <c r="L700" s="309"/>
      <c r="M700" s="309"/>
      <c r="N700" s="308"/>
    </row>
    <row r="701" spans="1:14" s="304" customFormat="1" ht="14.85" customHeight="1">
      <c r="A701" s="1156" t="s">
        <v>12</v>
      </c>
      <c r="B701" s="1157"/>
      <c r="C701" s="1157"/>
      <c r="D701" s="1157"/>
      <c r="E701" s="1157"/>
      <c r="F701" s="1157"/>
      <c r="G701" s="306" t="s">
        <v>13</v>
      </c>
      <c r="H701" s="305">
        <f t="shared" ref="H701:N703" si="112">H11</f>
        <v>480021547</v>
      </c>
      <c r="I701" s="305">
        <f t="shared" si="112"/>
        <v>280492841</v>
      </c>
      <c r="J701" s="305">
        <f t="shared" si="112"/>
        <v>143052395</v>
      </c>
      <c r="K701" s="305">
        <f t="shared" si="112"/>
        <v>137440446</v>
      </c>
      <c r="L701" s="305">
        <f t="shared" si="112"/>
        <v>199528706</v>
      </c>
      <c r="M701" s="305">
        <f t="shared" si="112"/>
        <v>16565027</v>
      </c>
      <c r="N701" s="305">
        <f t="shared" si="112"/>
        <v>182963679</v>
      </c>
    </row>
    <row r="702" spans="1:14" s="304" customFormat="1" ht="14.85" customHeight="1">
      <c r="A702" s="1158"/>
      <c r="B702" s="1159"/>
      <c r="C702" s="1159"/>
      <c r="D702" s="1159"/>
      <c r="E702" s="1159"/>
      <c r="F702" s="1159"/>
      <c r="G702" s="306" t="s">
        <v>14</v>
      </c>
      <c r="H702" s="305">
        <f t="shared" si="112"/>
        <v>100975880</v>
      </c>
      <c r="I702" s="305">
        <f t="shared" si="112"/>
        <v>76984900</v>
      </c>
      <c r="J702" s="305">
        <f t="shared" si="112"/>
        <v>66634960</v>
      </c>
      <c r="K702" s="305">
        <f t="shared" si="112"/>
        <v>10349940</v>
      </c>
      <c r="L702" s="305">
        <f t="shared" si="112"/>
        <v>23990980</v>
      </c>
      <c r="M702" s="305">
        <f t="shared" si="112"/>
        <v>7981151</v>
      </c>
      <c r="N702" s="305">
        <f t="shared" si="112"/>
        <v>16009829</v>
      </c>
    </row>
    <row r="703" spans="1:14" s="304" customFormat="1" ht="14.85" customHeight="1">
      <c r="A703" s="1160"/>
      <c r="B703" s="1161"/>
      <c r="C703" s="1161"/>
      <c r="D703" s="1161"/>
      <c r="E703" s="1161"/>
      <c r="F703" s="1161"/>
      <c r="G703" s="306" t="s">
        <v>15</v>
      </c>
      <c r="H703" s="305">
        <f t="shared" si="112"/>
        <v>580997427</v>
      </c>
      <c r="I703" s="305">
        <f t="shared" si="112"/>
        <v>357477741</v>
      </c>
      <c r="J703" s="305">
        <f t="shared" si="112"/>
        <v>209687355</v>
      </c>
      <c r="K703" s="305">
        <f t="shared" si="112"/>
        <v>147790386</v>
      </c>
      <c r="L703" s="305">
        <f t="shared" si="112"/>
        <v>223519686</v>
      </c>
      <c r="M703" s="305">
        <f t="shared" si="112"/>
        <v>24546178</v>
      </c>
      <c r="N703" s="305">
        <f t="shared" si="112"/>
        <v>198973508</v>
      </c>
    </row>
    <row r="704" spans="1:14" s="298" customFormat="1" ht="1.5" customHeight="1">
      <c r="A704" s="303"/>
      <c r="B704" s="303"/>
      <c r="C704" s="303"/>
      <c r="D704" s="303"/>
      <c r="E704" s="301"/>
      <c r="F704" s="302"/>
      <c r="G704" s="301"/>
      <c r="H704" s="300"/>
      <c r="I704" s="299"/>
      <c r="J704" s="299"/>
      <c r="K704" s="299"/>
      <c r="L704" s="299"/>
      <c r="M704" s="299"/>
      <c r="N704" s="299"/>
    </row>
    <row r="705" spans="1:14" ht="12.75" customHeight="1">
      <c r="A705" s="297" t="s">
        <v>523</v>
      </c>
      <c r="B705" s="296"/>
      <c r="C705" s="295"/>
      <c r="D705" s="296"/>
      <c r="E705" s="295"/>
    </row>
    <row r="706" spans="1:14" s="288" customFormat="1" ht="12.75" customHeight="1">
      <c r="A706" s="294" t="s">
        <v>522</v>
      </c>
      <c r="B706" s="293"/>
      <c r="C706" s="292"/>
      <c r="D706" s="293"/>
      <c r="E706" s="292"/>
      <c r="G706" s="287"/>
      <c r="H706" s="286"/>
      <c r="I706" s="285"/>
      <c r="J706" s="285"/>
      <c r="K706" s="285"/>
      <c r="L706" s="285"/>
      <c r="M706" s="285"/>
      <c r="N706" s="285"/>
    </row>
    <row r="707" spans="1:14" s="288" customFormat="1" ht="10.35" customHeight="1">
      <c r="A707" s="289" t="s">
        <v>521</v>
      </c>
      <c r="B707" s="289" t="s">
        <v>518</v>
      </c>
      <c r="C707" s="291" t="s">
        <v>520</v>
      </c>
      <c r="D707" s="289"/>
      <c r="E707" s="287"/>
      <c r="G707" s="290"/>
      <c r="H707" s="286"/>
      <c r="I707" s="285"/>
      <c r="J707" s="285"/>
      <c r="K707" s="285"/>
      <c r="L707" s="285"/>
      <c r="M707" s="285"/>
      <c r="N707" s="285"/>
    </row>
    <row r="708" spans="1:14" s="288" customFormat="1" ht="10.35" customHeight="1">
      <c r="A708" s="289" t="s">
        <v>14</v>
      </c>
      <c r="B708" s="289" t="s">
        <v>518</v>
      </c>
      <c r="C708" s="291" t="s">
        <v>519</v>
      </c>
      <c r="D708" s="289"/>
      <c r="E708" s="287"/>
      <c r="G708" s="290"/>
      <c r="H708" s="286"/>
      <c r="I708" s="285"/>
      <c r="J708" s="285"/>
      <c r="K708" s="285"/>
      <c r="L708" s="285"/>
      <c r="M708" s="285"/>
      <c r="N708" s="285"/>
    </row>
    <row r="709" spans="1:14" s="288" customFormat="1" ht="10.35" customHeight="1">
      <c r="A709" s="289" t="s">
        <v>15</v>
      </c>
      <c r="B709" s="289" t="s">
        <v>518</v>
      </c>
      <c r="C709" s="291" t="s">
        <v>517</v>
      </c>
      <c r="D709" s="289"/>
      <c r="E709" s="287"/>
      <c r="G709" s="290"/>
      <c r="H709" s="286"/>
      <c r="I709" s="285"/>
      <c r="J709" s="285"/>
      <c r="K709" s="285"/>
      <c r="L709" s="285"/>
      <c r="M709" s="285"/>
      <c r="N709" s="285"/>
    </row>
  </sheetData>
  <sheetProtection password="C25B" sheet="1" objects="1" scenarios="1"/>
  <mergeCells count="1433">
    <mergeCell ref="A56:F58"/>
    <mergeCell ref="A60:F62"/>
    <mergeCell ref="A64:F66"/>
    <mergeCell ref="A67:B67"/>
    <mergeCell ref="C67:D67"/>
    <mergeCell ref="E67:F69"/>
    <mergeCell ref="A68:B68"/>
    <mergeCell ref="C68:D68"/>
    <mergeCell ref="A52:B52"/>
    <mergeCell ref="C52:D52"/>
    <mergeCell ref="E52:F54"/>
    <mergeCell ref="A53:B53"/>
    <mergeCell ref="C53:D53"/>
    <mergeCell ref="A54:B54"/>
    <mergeCell ref="C54:D54"/>
    <mergeCell ref="A49:B49"/>
    <mergeCell ref="C49:D49"/>
    <mergeCell ref="E49:F51"/>
    <mergeCell ref="A50:B50"/>
    <mergeCell ref="C50:D50"/>
    <mergeCell ref="A51:B51"/>
    <mergeCell ref="C51:D51"/>
    <mergeCell ref="C69:D69"/>
    <mergeCell ref="C575:D575"/>
    <mergeCell ref="A576:B576"/>
    <mergeCell ref="C576:D576"/>
    <mergeCell ref="A361:B361"/>
    <mergeCell ref="C361:D361"/>
    <mergeCell ref="F361:F363"/>
    <mergeCell ref="A362:B362"/>
    <mergeCell ref="C362:D362"/>
    <mergeCell ref="A363:B363"/>
    <mergeCell ref="C363:D363"/>
    <mergeCell ref="A46:B46"/>
    <mergeCell ref="C46:D46"/>
    <mergeCell ref="E46:F48"/>
    <mergeCell ref="A47:B47"/>
    <mergeCell ref="C47:D47"/>
    <mergeCell ref="A48:B48"/>
    <mergeCell ref="C48:D48"/>
    <mergeCell ref="C73:D73"/>
    <mergeCell ref="E73:F75"/>
    <mergeCell ref="A74:B74"/>
    <mergeCell ref="C74:D74"/>
    <mergeCell ref="A75:B75"/>
    <mergeCell ref="C75:D75"/>
    <mergeCell ref="A79:B79"/>
    <mergeCell ref="C79:D79"/>
    <mergeCell ref="E79:F81"/>
    <mergeCell ref="A80:B80"/>
    <mergeCell ref="C80:D80"/>
    <mergeCell ref="A81:B81"/>
    <mergeCell ref="C81:D81"/>
    <mergeCell ref="A76:F78"/>
    <mergeCell ref="A69:B69"/>
    <mergeCell ref="C28:D28"/>
    <mergeCell ref="E28:F30"/>
    <mergeCell ref="A29:B29"/>
    <mergeCell ref="C29:D29"/>
    <mergeCell ref="A43:B43"/>
    <mergeCell ref="C43:D43"/>
    <mergeCell ref="E43:F45"/>
    <mergeCell ref="A44:B44"/>
    <mergeCell ref="C44:D44"/>
    <mergeCell ref="A45:B45"/>
    <mergeCell ref="C45:D45"/>
    <mergeCell ref="A40:B40"/>
    <mergeCell ref="C40:D40"/>
    <mergeCell ref="E40:F42"/>
    <mergeCell ref="A41:B41"/>
    <mergeCell ref="C41:D41"/>
    <mergeCell ref="A42:B42"/>
    <mergeCell ref="C42:D42"/>
    <mergeCell ref="A36:B36"/>
    <mergeCell ref="C36:D36"/>
    <mergeCell ref="A37:B37"/>
    <mergeCell ref="C37:D37"/>
    <mergeCell ref="E37:F39"/>
    <mergeCell ref="A38:B38"/>
    <mergeCell ref="C38:D38"/>
    <mergeCell ref="A39:B39"/>
    <mergeCell ref="C39:D39"/>
    <mergeCell ref="L7:L8"/>
    <mergeCell ref="A9:B9"/>
    <mergeCell ref="C9:D9"/>
    <mergeCell ref="A11:F13"/>
    <mergeCell ref="A15:F17"/>
    <mergeCell ref="A19:B19"/>
    <mergeCell ref="C19:D19"/>
    <mergeCell ref="E19:F21"/>
    <mergeCell ref="A22:B22"/>
    <mergeCell ref="C22:D22"/>
    <mergeCell ref="E22:F24"/>
    <mergeCell ref="A23:B23"/>
    <mergeCell ref="C23:D23"/>
    <mergeCell ref="A24:B24"/>
    <mergeCell ref="C24:D24"/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  <mergeCell ref="A20:B20"/>
    <mergeCell ref="C20:D20"/>
    <mergeCell ref="A21:B21"/>
    <mergeCell ref="C21:D21"/>
    <mergeCell ref="A70:F72"/>
    <mergeCell ref="A73:B73"/>
    <mergeCell ref="A25:B25"/>
    <mergeCell ref="C25:D25"/>
    <mergeCell ref="E25:F27"/>
    <mergeCell ref="A26:B26"/>
    <mergeCell ref="C26:D26"/>
    <mergeCell ref="A27:B27"/>
    <mergeCell ref="C27:D27"/>
    <mergeCell ref="A82:F84"/>
    <mergeCell ref="A85:B85"/>
    <mergeCell ref="C85:D85"/>
    <mergeCell ref="E85:F87"/>
    <mergeCell ref="A86:B86"/>
    <mergeCell ref="C86:D86"/>
    <mergeCell ref="A87:B87"/>
    <mergeCell ref="C87:D87"/>
    <mergeCell ref="E31:F33"/>
    <mergeCell ref="A32:B32"/>
    <mergeCell ref="C32:D32"/>
    <mergeCell ref="A33:B33"/>
    <mergeCell ref="C33:D33"/>
    <mergeCell ref="A34:B34"/>
    <mergeCell ref="C34:D34"/>
    <mergeCell ref="E34:F36"/>
    <mergeCell ref="A35:B35"/>
    <mergeCell ref="C35:D35"/>
    <mergeCell ref="A30:B30"/>
    <mergeCell ref="C30:D30"/>
    <mergeCell ref="A31:B31"/>
    <mergeCell ref="C31:D31"/>
    <mergeCell ref="A28:B28"/>
    <mergeCell ref="A88:B88"/>
    <mergeCell ref="C88:D88"/>
    <mergeCell ref="E88:F90"/>
    <mergeCell ref="A89:B89"/>
    <mergeCell ref="C89:D89"/>
    <mergeCell ref="A90:B90"/>
    <mergeCell ref="C90:D90"/>
    <mergeCell ref="A91:F93"/>
    <mergeCell ref="A94:B94"/>
    <mergeCell ref="C94:D94"/>
    <mergeCell ref="E94:F96"/>
    <mergeCell ref="A95:B95"/>
    <mergeCell ref="C95:D95"/>
    <mergeCell ref="A96:B96"/>
    <mergeCell ref="C96:D96"/>
    <mergeCell ref="A103:F105"/>
    <mergeCell ref="A106:B106"/>
    <mergeCell ref="C106:D106"/>
    <mergeCell ref="E106:F108"/>
    <mergeCell ref="A107:B107"/>
    <mergeCell ref="C107:D107"/>
    <mergeCell ref="A108:B108"/>
    <mergeCell ref="C108:D108"/>
    <mergeCell ref="A97:F99"/>
    <mergeCell ref="A100:B100"/>
    <mergeCell ref="C100:D100"/>
    <mergeCell ref="E100:F102"/>
    <mergeCell ref="A101:B101"/>
    <mergeCell ref="C101:D101"/>
    <mergeCell ref="A102:B102"/>
    <mergeCell ref="C102:D102"/>
    <mergeCell ref="A109:F111"/>
    <mergeCell ref="A112:B112"/>
    <mergeCell ref="C112:D112"/>
    <mergeCell ref="E112:F114"/>
    <mergeCell ref="A113:B113"/>
    <mergeCell ref="C113:D113"/>
    <mergeCell ref="A114:B114"/>
    <mergeCell ref="C114:D114"/>
    <mergeCell ref="A115:B115"/>
    <mergeCell ref="C115:D115"/>
    <mergeCell ref="E115:F117"/>
    <mergeCell ref="A116:B116"/>
    <mergeCell ref="C116:D116"/>
    <mergeCell ref="A117:B117"/>
    <mergeCell ref="C117:D117"/>
    <mergeCell ref="A118:B118"/>
    <mergeCell ref="C118:D118"/>
    <mergeCell ref="E118:F120"/>
    <mergeCell ref="A119:B119"/>
    <mergeCell ref="C119:D119"/>
    <mergeCell ref="A120:B120"/>
    <mergeCell ref="C120:D120"/>
    <mergeCell ref="A121:B121"/>
    <mergeCell ref="C121:D121"/>
    <mergeCell ref="E121:F123"/>
    <mergeCell ref="A122:B122"/>
    <mergeCell ref="C122:D122"/>
    <mergeCell ref="A123:B123"/>
    <mergeCell ref="C123:D123"/>
    <mergeCell ref="A124:F126"/>
    <mergeCell ref="A127:B127"/>
    <mergeCell ref="C127:D127"/>
    <mergeCell ref="E127:F129"/>
    <mergeCell ref="A128:B128"/>
    <mergeCell ref="C128:D128"/>
    <mergeCell ref="A129:B129"/>
    <mergeCell ref="C129:D129"/>
    <mergeCell ref="A130:F132"/>
    <mergeCell ref="A133:B133"/>
    <mergeCell ref="C133:D133"/>
    <mergeCell ref="E133:F135"/>
    <mergeCell ref="A134:B134"/>
    <mergeCell ref="C134:D134"/>
    <mergeCell ref="A135:B135"/>
    <mergeCell ref="C135:D135"/>
    <mergeCell ref="A136:F138"/>
    <mergeCell ref="A139:B139"/>
    <mergeCell ref="C139:D139"/>
    <mergeCell ref="E139:F141"/>
    <mergeCell ref="A140:B140"/>
    <mergeCell ref="C140:D140"/>
    <mergeCell ref="A141:B141"/>
    <mergeCell ref="C141:D141"/>
    <mergeCell ref="A142:F144"/>
    <mergeCell ref="A145:B145"/>
    <mergeCell ref="C145:D145"/>
    <mergeCell ref="E145:F147"/>
    <mergeCell ref="A146:B146"/>
    <mergeCell ref="C146:D146"/>
    <mergeCell ref="A147:B147"/>
    <mergeCell ref="C147:D147"/>
    <mergeCell ref="A148:F150"/>
    <mergeCell ref="A151:B151"/>
    <mergeCell ref="C151:D151"/>
    <mergeCell ref="E151:F153"/>
    <mergeCell ref="A152:B152"/>
    <mergeCell ref="C152:D152"/>
    <mergeCell ref="A153:B153"/>
    <mergeCell ref="C153:D153"/>
    <mergeCell ref="A154:B154"/>
    <mergeCell ref="C154:D154"/>
    <mergeCell ref="E154:F156"/>
    <mergeCell ref="A155:B155"/>
    <mergeCell ref="C155:D155"/>
    <mergeCell ref="A156:B156"/>
    <mergeCell ref="C156:D156"/>
    <mergeCell ref="A157:B157"/>
    <mergeCell ref="C157:D157"/>
    <mergeCell ref="E157:F159"/>
    <mergeCell ref="A158:B158"/>
    <mergeCell ref="C158:D158"/>
    <mergeCell ref="A159:B159"/>
    <mergeCell ref="C159:D159"/>
    <mergeCell ref="A160:F162"/>
    <mergeCell ref="A163:B163"/>
    <mergeCell ref="C163:D163"/>
    <mergeCell ref="E163:F165"/>
    <mergeCell ref="A164:B164"/>
    <mergeCell ref="C164:D164"/>
    <mergeCell ref="A165:B165"/>
    <mergeCell ref="C165:D165"/>
    <mergeCell ref="A166:B166"/>
    <mergeCell ref="C166:D166"/>
    <mergeCell ref="E166:F168"/>
    <mergeCell ref="A167:B167"/>
    <mergeCell ref="C167:D167"/>
    <mergeCell ref="A168:B168"/>
    <mergeCell ref="C168:D168"/>
    <mergeCell ref="A169:B169"/>
    <mergeCell ref="C169:D169"/>
    <mergeCell ref="E169:F171"/>
    <mergeCell ref="A170:B170"/>
    <mergeCell ref="C170:D170"/>
    <mergeCell ref="A171:B171"/>
    <mergeCell ref="C171:D171"/>
    <mergeCell ref="A172:F174"/>
    <mergeCell ref="A175:B175"/>
    <mergeCell ref="C175:D175"/>
    <mergeCell ref="E175:F177"/>
    <mergeCell ref="A176:B176"/>
    <mergeCell ref="C176:D176"/>
    <mergeCell ref="A177:B177"/>
    <mergeCell ref="C177:D177"/>
    <mergeCell ref="A178:B178"/>
    <mergeCell ref="C178:D178"/>
    <mergeCell ref="E178:F180"/>
    <mergeCell ref="A179:B179"/>
    <mergeCell ref="C179:D179"/>
    <mergeCell ref="A180:B180"/>
    <mergeCell ref="C180:D180"/>
    <mergeCell ref="A193:B193"/>
    <mergeCell ref="C193:D193"/>
    <mergeCell ref="A181:B181"/>
    <mergeCell ref="C181:D181"/>
    <mergeCell ref="E181:F183"/>
    <mergeCell ref="A182:B182"/>
    <mergeCell ref="C182:D182"/>
    <mergeCell ref="A183:B183"/>
    <mergeCell ref="C183:D183"/>
    <mergeCell ref="A196:B196"/>
    <mergeCell ref="C196:D196"/>
    <mergeCell ref="E196:F198"/>
    <mergeCell ref="A197:B197"/>
    <mergeCell ref="C197:D197"/>
    <mergeCell ref="A198:B198"/>
    <mergeCell ref="C198:D198"/>
    <mergeCell ref="A184:F186"/>
    <mergeCell ref="A187:B187"/>
    <mergeCell ref="C187:D187"/>
    <mergeCell ref="E187:F189"/>
    <mergeCell ref="A188:B188"/>
    <mergeCell ref="C188:D188"/>
    <mergeCell ref="A189:B189"/>
    <mergeCell ref="C189:D189"/>
    <mergeCell ref="A190:B190"/>
    <mergeCell ref="C190:D190"/>
    <mergeCell ref="E190:F192"/>
    <mergeCell ref="A191:B191"/>
    <mergeCell ref="C191:D191"/>
    <mergeCell ref="A192:B192"/>
    <mergeCell ref="C192:D192"/>
    <mergeCell ref="E193:F195"/>
    <mergeCell ref="A194:B194"/>
    <mergeCell ref="C194:D194"/>
    <mergeCell ref="A195:B195"/>
    <mergeCell ref="C195:D195"/>
    <mergeCell ref="A199:F201"/>
    <mergeCell ref="A202:B202"/>
    <mergeCell ref="C202:D202"/>
    <mergeCell ref="E202:F204"/>
    <mergeCell ref="A203:B203"/>
    <mergeCell ref="C203:D203"/>
    <mergeCell ref="A204:B204"/>
    <mergeCell ref="C204:D204"/>
    <mergeCell ref="A206:F208"/>
    <mergeCell ref="A210:F212"/>
    <mergeCell ref="A214:B214"/>
    <mergeCell ref="C214:D214"/>
    <mergeCell ref="F214:F216"/>
    <mergeCell ref="A215:B215"/>
    <mergeCell ref="C215:D215"/>
    <mergeCell ref="A216:B216"/>
    <mergeCell ref="C216:D216"/>
    <mergeCell ref="A217:B217"/>
    <mergeCell ref="C217:D217"/>
    <mergeCell ref="F217:F219"/>
    <mergeCell ref="A218:B218"/>
    <mergeCell ref="C218:D218"/>
    <mergeCell ref="A219:B219"/>
    <mergeCell ref="C219:D219"/>
    <mergeCell ref="A220:B220"/>
    <mergeCell ref="C220:D220"/>
    <mergeCell ref="F220:F222"/>
    <mergeCell ref="A221:B221"/>
    <mergeCell ref="C221:D221"/>
    <mergeCell ref="A222:B222"/>
    <mergeCell ref="C222:D222"/>
    <mergeCell ref="A223:B223"/>
    <mergeCell ref="C223:D223"/>
    <mergeCell ref="F223:F225"/>
    <mergeCell ref="A224:B224"/>
    <mergeCell ref="C224:D224"/>
    <mergeCell ref="A225:B225"/>
    <mergeCell ref="C225:D225"/>
    <mergeCell ref="A226:B226"/>
    <mergeCell ref="C226:D226"/>
    <mergeCell ref="F226:F228"/>
    <mergeCell ref="A227:B227"/>
    <mergeCell ref="C227:D227"/>
    <mergeCell ref="A228:B228"/>
    <mergeCell ref="C228:D228"/>
    <mergeCell ref="A229:B229"/>
    <mergeCell ref="C229:D229"/>
    <mergeCell ref="F229:F231"/>
    <mergeCell ref="A230:B230"/>
    <mergeCell ref="C230:D230"/>
    <mergeCell ref="A231:B231"/>
    <mergeCell ref="C231:D231"/>
    <mergeCell ref="A232:B232"/>
    <mergeCell ref="C232:D232"/>
    <mergeCell ref="F232:F234"/>
    <mergeCell ref="A233:B233"/>
    <mergeCell ref="C233:D233"/>
    <mergeCell ref="A234:B234"/>
    <mergeCell ref="C234:D234"/>
    <mergeCell ref="A235:B235"/>
    <mergeCell ref="C235:D235"/>
    <mergeCell ref="F235:F237"/>
    <mergeCell ref="A236:B236"/>
    <mergeCell ref="C236:D236"/>
    <mergeCell ref="A237:B237"/>
    <mergeCell ref="C237:D237"/>
    <mergeCell ref="A238:B238"/>
    <mergeCell ref="C238:D238"/>
    <mergeCell ref="F238:F240"/>
    <mergeCell ref="A239:B239"/>
    <mergeCell ref="C239:D239"/>
    <mergeCell ref="A240:B240"/>
    <mergeCell ref="C240:D240"/>
    <mergeCell ref="A241:B241"/>
    <mergeCell ref="C241:D241"/>
    <mergeCell ref="F241:F243"/>
    <mergeCell ref="A242:B242"/>
    <mergeCell ref="C242:D242"/>
    <mergeCell ref="A243:B243"/>
    <mergeCell ref="C243:D243"/>
    <mergeCell ref="A244:B244"/>
    <mergeCell ref="C244:D244"/>
    <mergeCell ref="F244:F246"/>
    <mergeCell ref="A245:B245"/>
    <mergeCell ref="C245:D245"/>
    <mergeCell ref="A246:B246"/>
    <mergeCell ref="C246:D246"/>
    <mergeCell ref="A247:B247"/>
    <mergeCell ref="C247:D247"/>
    <mergeCell ref="F247:F249"/>
    <mergeCell ref="A248:B248"/>
    <mergeCell ref="C248:D248"/>
    <mergeCell ref="A249:B249"/>
    <mergeCell ref="C249:D249"/>
    <mergeCell ref="A250:B250"/>
    <mergeCell ref="C250:D250"/>
    <mergeCell ref="F250:F252"/>
    <mergeCell ref="A251:B251"/>
    <mergeCell ref="C251:D251"/>
    <mergeCell ref="A252:B252"/>
    <mergeCell ref="C252:D252"/>
    <mergeCell ref="A253:B253"/>
    <mergeCell ref="C253:D253"/>
    <mergeCell ref="F253:F255"/>
    <mergeCell ref="A254:B254"/>
    <mergeCell ref="C254:D254"/>
    <mergeCell ref="A255:B255"/>
    <mergeCell ref="C255:D255"/>
    <mergeCell ref="A256:B256"/>
    <mergeCell ref="C256:D256"/>
    <mergeCell ref="F256:F258"/>
    <mergeCell ref="A257:B257"/>
    <mergeCell ref="C257:D257"/>
    <mergeCell ref="A258:B258"/>
    <mergeCell ref="C258:D258"/>
    <mergeCell ref="A259:B259"/>
    <mergeCell ref="C259:D259"/>
    <mergeCell ref="F259:F261"/>
    <mergeCell ref="A260:B260"/>
    <mergeCell ref="C260:D260"/>
    <mergeCell ref="A261:B261"/>
    <mergeCell ref="C261:D261"/>
    <mergeCell ref="A262:B262"/>
    <mergeCell ref="C262:D262"/>
    <mergeCell ref="F262:F264"/>
    <mergeCell ref="A263:B263"/>
    <mergeCell ref="C263:D263"/>
    <mergeCell ref="A264:B264"/>
    <mergeCell ref="C264:D264"/>
    <mergeCell ref="A265:B265"/>
    <mergeCell ref="C265:D265"/>
    <mergeCell ref="F265:F267"/>
    <mergeCell ref="A266:B266"/>
    <mergeCell ref="C266:D266"/>
    <mergeCell ref="A267:B267"/>
    <mergeCell ref="C267:D267"/>
    <mergeCell ref="A268:B268"/>
    <mergeCell ref="C268:D268"/>
    <mergeCell ref="F268:F270"/>
    <mergeCell ref="A269:B269"/>
    <mergeCell ref="C269:D269"/>
    <mergeCell ref="A270:B270"/>
    <mergeCell ref="C270:D270"/>
    <mergeCell ref="A271:B271"/>
    <mergeCell ref="C271:D271"/>
    <mergeCell ref="F271:F273"/>
    <mergeCell ref="A272:B272"/>
    <mergeCell ref="C272:D272"/>
    <mergeCell ref="A273:B273"/>
    <mergeCell ref="C273:D273"/>
    <mergeCell ref="A274:B274"/>
    <mergeCell ref="C274:D274"/>
    <mergeCell ref="F274:F276"/>
    <mergeCell ref="A275:B275"/>
    <mergeCell ref="C275:D275"/>
    <mergeCell ref="A276:B276"/>
    <mergeCell ref="C276:D276"/>
    <mergeCell ref="A277:B277"/>
    <mergeCell ref="C277:D277"/>
    <mergeCell ref="F277:F279"/>
    <mergeCell ref="A278:B278"/>
    <mergeCell ref="C278:D278"/>
    <mergeCell ref="A279:B279"/>
    <mergeCell ref="C279:D279"/>
    <mergeCell ref="A280:B280"/>
    <mergeCell ref="C280:D280"/>
    <mergeCell ref="F280:F282"/>
    <mergeCell ref="A281:B281"/>
    <mergeCell ref="C281:D281"/>
    <mergeCell ref="A282:B282"/>
    <mergeCell ref="C282:D282"/>
    <mergeCell ref="A283:B283"/>
    <mergeCell ref="C283:D283"/>
    <mergeCell ref="F283:F285"/>
    <mergeCell ref="A284:B284"/>
    <mergeCell ref="C284:D284"/>
    <mergeCell ref="A285:B285"/>
    <mergeCell ref="C285:D285"/>
    <mergeCell ref="A286:B286"/>
    <mergeCell ref="C286:D286"/>
    <mergeCell ref="F286:F288"/>
    <mergeCell ref="A287:B287"/>
    <mergeCell ref="C287:D287"/>
    <mergeCell ref="A288:B288"/>
    <mergeCell ref="C288:D288"/>
    <mergeCell ref="A289:B289"/>
    <mergeCell ref="C289:D289"/>
    <mergeCell ref="F289:F291"/>
    <mergeCell ref="A290:B290"/>
    <mergeCell ref="C290:D290"/>
    <mergeCell ref="A291:B291"/>
    <mergeCell ref="C291:D291"/>
    <mergeCell ref="A292:B292"/>
    <mergeCell ref="C292:D292"/>
    <mergeCell ref="F292:F294"/>
    <mergeCell ref="A293:B293"/>
    <mergeCell ref="C293:D293"/>
    <mergeCell ref="A294:B294"/>
    <mergeCell ref="C294:D294"/>
    <mergeCell ref="A298:B298"/>
    <mergeCell ref="C298:D298"/>
    <mergeCell ref="F298:F300"/>
    <mergeCell ref="A299:B299"/>
    <mergeCell ref="C299:D299"/>
    <mergeCell ref="A300:B300"/>
    <mergeCell ref="C300:D300"/>
    <mergeCell ref="A297:B297"/>
    <mergeCell ref="C297:D297"/>
    <mergeCell ref="A295:B295"/>
    <mergeCell ref="C295:D295"/>
    <mergeCell ref="F295:F297"/>
    <mergeCell ref="A296:B296"/>
    <mergeCell ref="C296:D296"/>
    <mergeCell ref="A301:B301"/>
    <mergeCell ref="C301:D301"/>
    <mergeCell ref="F301:F303"/>
    <mergeCell ref="A302:B302"/>
    <mergeCell ref="C302:D302"/>
    <mergeCell ref="A303:B303"/>
    <mergeCell ref="C303:D303"/>
    <mergeCell ref="A304:B304"/>
    <mergeCell ref="C304:D304"/>
    <mergeCell ref="F304:F306"/>
    <mergeCell ref="A305:B305"/>
    <mergeCell ref="C305:D305"/>
    <mergeCell ref="A306:B306"/>
    <mergeCell ref="C306:D306"/>
    <mergeCell ref="A307:B307"/>
    <mergeCell ref="C307:D307"/>
    <mergeCell ref="F307:F309"/>
    <mergeCell ref="A308:B308"/>
    <mergeCell ref="C308:D308"/>
    <mergeCell ref="A309:B309"/>
    <mergeCell ref="C309:D309"/>
    <mergeCell ref="A310:B310"/>
    <mergeCell ref="C310:D310"/>
    <mergeCell ref="F310:F312"/>
    <mergeCell ref="A311:B311"/>
    <mergeCell ref="C311:D311"/>
    <mergeCell ref="A312:B312"/>
    <mergeCell ref="C312:D312"/>
    <mergeCell ref="A313:B313"/>
    <mergeCell ref="C313:D313"/>
    <mergeCell ref="F313:F315"/>
    <mergeCell ref="A314:B314"/>
    <mergeCell ref="C314:D314"/>
    <mergeCell ref="A315:B315"/>
    <mergeCell ref="C315:D315"/>
    <mergeCell ref="A316:B316"/>
    <mergeCell ref="C316:D316"/>
    <mergeCell ref="F316:F318"/>
    <mergeCell ref="A317:B317"/>
    <mergeCell ref="C317:D317"/>
    <mergeCell ref="A318:B318"/>
    <mergeCell ref="C318:D318"/>
    <mergeCell ref="A319:B319"/>
    <mergeCell ref="C319:D319"/>
    <mergeCell ref="F319:F321"/>
    <mergeCell ref="A320:B320"/>
    <mergeCell ref="C320:D320"/>
    <mergeCell ref="A321:B321"/>
    <mergeCell ref="C321:D321"/>
    <mergeCell ref="A322:B322"/>
    <mergeCell ref="C322:D322"/>
    <mergeCell ref="F322:F324"/>
    <mergeCell ref="A323:B323"/>
    <mergeCell ref="C323:D323"/>
    <mergeCell ref="A324:B324"/>
    <mergeCell ref="C324:D324"/>
    <mergeCell ref="A325:B325"/>
    <mergeCell ref="C325:D325"/>
    <mergeCell ref="F325:F327"/>
    <mergeCell ref="A326:B326"/>
    <mergeCell ref="C326:D326"/>
    <mergeCell ref="A327:B327"/>
    <mergeCell ref="C327:D327"/>
    <mergeCell ref="A328:B328"/>
    <mergeCell ref="C328:D328"/>
    <mergeCell ref="F328:F330"/>
    <mergeCell ref="A329:B329"/>
    <mergeCell ref="C329:D329"/>
    <mergeCell ref="A330:B330"/>
    <mergeCell ref="C330:D330"/>
    <mergeCell ref="A331:B331"/>
    <mergeCell ref="C331:D331"/>
    <mergeCell ref="F331:F333"/>
    <mergeCell ref="A332:B332"/>
    <mergeCell ref="C332:D332"/>
    <mergeCell ref="A333:B333"/>
    <mergeCell ref="C333:D333"/>
    <mergeCell ref="A334:B334"/>
    <mergeCell ref="C334:D334"/>
    <mergeCell ref="F334:F336"/>
    <mergeCell ref="A335:B335"/>
    <mergeCell ref="C335:D335"/>
    <mergeCell ref="A336:B336"/>
    <mergeCell ref="C336:D336"/>
    <mergeCell ref="A337:B337"/>
    <mergeCell ref="C337:D337"/>
    <mergeCell ref="F337:F339"/>
    <mergeCell ref="A338:B338"/>
    <mergeCell ref="C338:D338"/>
    <mergeCell ref="A339:B339"/>
    <mergeCell ref="C339:D339"/>
    <mergeCell ref="A340:B340"/>
    <mergeCell ref="C340:D340"/>
    <mergeCell ref="F340:F342"/>
    <mergeCell ref="A341:B341"/>
    <mergeCell ref="C341:D341"/>
    <mergeCell ref="A342:B342"/>
    <mergeCell ref="C342:D342"/>
    <mergeCell ref="A343:B343"/>
    <mergeCell ref="C343:D343"/>
    <mergeCell ref="F343:F345"/>
    <mergeCell ref="A344:B344"/>
    <mergeCell ref="C344:D344"/>
    <mergeCell ref="A345:B345"/>
    <mergeCell ref="C345:D345"/>
    <mergeCell ref="A346:B346"/>
    <mergeCell ref="C346:D346"/>
    <mergeCell ref="F346:F348"/>
    <mergeCell ref="A347:B347"/>
    <mergeCell ref="C347:D347"/>
    <mergeCell ref="A348:B348"/>
    <mergeCell ref="C348:D348"/>
    <mergeCell ref="A349:B349"/>
    <mergeCell ref="C349:D349"/>
    <mergeCell ref="F349:F351"/>
    <mergeCell ref="A350:B350"/>
    <mergeCell ref="C350:D350"/>
    <mergeCell ref="A351:B351"/>
    <mergeCell ref="C351:D351"/>
    <mergeCell ref="A352:B352"/>
    <mergeCell ref="C352:D352"/>
    <mergeCell ref="F352:F354"/>
    <mergeCell ref="A353:B353"/>
    <mergeCell ref="C353:D353"/>
    <mergeCell ref="A354:B354"/>
    <mergeCell ref="C354:D354"/>
    <mergeCell ref="A355:B355"/>
    <mergeCell ref="C355:D355"/>
    <mergeCell ref="F355:F357"/>
    <mergeCell ref="A356:B356"/>
    <mergeCell ref="C356:D356"/>
    <mergeCell ref="A357:B357"/>
    <mergeCell ref="C357:D357"/>
    <mergeCell ref="A358:B358"/>
    <mergeCell ref="C358:D358"/>
    <mergeCell ref="F358:F360"/>
    <mergeCell ref="A359:B359"/>
    <mergeCell ref="C359:D359"/>
    <mergeCell ref="A360:B360"/>
    <mergeCell ref="C360:D360"/>
    <mergeCell ref="A364:B364"/>
    <mergeCell ref="C364:D364"/>
    <mergeCell ref="F364:F366"/>
    <mergeCell ref="A365:B365"/>
    <mergeCell ref="C365:D365"/>
    <mergeCell ref="A366:B366"/>
    <mergeCell ref="C366:D366"/>
    <mergeCell ref="A367:B367"/>
    <mergeCell ref="C367:D367"/>
    <mergeCell ref="F367:F369"/>
    <mergeCell ref="A368:B368"/>
    <mergeCell ref="C368:D368"/>
    <mergeCell ref="A369:B369"/>
    <mergeCell ref="C369:D369"/>
    <mergeCell ref="A370:B370"/>
    <mergeCell ref="C370:D370"/>
    <mergeCell ref="F370:F372"/>
    <mergeCell ref="A371:B371"/>
    <mergeCell ref="C371:D371"/>
    <mergeCell ref="A372:B372"/>
    <mergeCell ref="C372:D372"/>
    <mergeCell ref="A373:B373"/>
    <mergeCell ref="C373:D373"/>
    <mergeCell ref="F373:F375"/>
    <mergeCell ref="A374:B374"/>
    <mergeCell ref="C374:D374"/>
    <mergeCell ref="A375:B375"/>
    <mergeCell ref="C375:D375"/>
    <mergeCell ref="A376:B376"/>
    <mergeCell ref="C376:D376"/>
    <mergeCell ref="F376:F378"/>
    <mergeCell ref="A377:B377"/>
    <mergeCell ref="C377:D377"/>
    <mergeCell ref="A378:B378"/>
    <mergeCell ref="C378:D378"/>
    <mergeCell ref="A379:B379"/>
    <mergeCell ref="C379:D379"/>
    <mergeCell ref="F379:F381"/>
    <mergeCell ref="A380:B380"/>
    <mergeCell ref="C380:D380"/>
    <mergeCell ref="A381:B381"/>
    <mergeCell ref="C381:D381"/>
    <mergeCell ref="A383:F385"/>
    <mergeCell ref="A387:B387"/>
    <mergeCell ref="C387:D387"/>
    <mergeCell ref="F387:F389"/>
    <mergeCell ref="A388:B388"/>
    <mergeCell ref="C388:D388"/>
    <mergeCell ref="A389:B389"/>
    <mergeCell ref="C389:D389"/>
    <mergeCell ref="A390:B390"/>
    <mergeCell ref="C390:D390"/>
    <mergeCell ref="F390:F392"/>
    <mergeCell ref="A391:B391"/>
    <mergeCell ref="C391:D391"/>
    <mergeCell ref="A392:B392"/>
    <mergeCell ref="C392:D392"/>
    <mergeCell ref="A394:F396"/>
    <mergeCell ref="A398:B398"/>
    <mergeCell ref="C398:D398"/>
    <mergeCell ref="E398:F400"/>
    <mergeCell ref="A399:B399"/>
    <mergeCell ref="C399:D399"/>
    <mergeCell ref="A400:B400"/>
    <mergeCell ref="C400:D400"/>
    <mergeCell ref="A402:F404"/>
    <mergeCell ref="A406:B406"/>
    <mergeCell ref="C406:D406"/>
    <mergeCell ref="E406:F408"/>
    <mergeCell ref="A407:B407"/>
    <mergeCell ref="C407:D407"/>
    <mergeCell ref="A408:B408"/>
    <mergeCell ref="C408:D408"/>
    <mergeCell ref="A409:B409"/>
    <mergeCell ref="C409:D409"/>
    <mergeCell ref="E409:F411"/>
    <mergeCell ref="A410:B410"/>
    <mergeCell ref="C410:D410"/>
    <mergeCell ref="A411:B411"/>
    <mergeCell ref="C411:D411"/>
    <mergeCell ref="A412:B412"/>
    <mergeCell ref="C412:D412"/>
    <mergeCell ref="E412:F414"/>
    <mergeCell ref="A413:B413"/>
    <mergeCell ref="C413:D413"/>
    <mergeCell ref="A414:B414"/>
    <mergeCell ref="C414:D414"/>
    <mergeCell ref="A415:B415"/>
    <mergeCell ref="C415:D415"/>
    <mergeCell ref="E415:F417"/>
    <mergeCell ref="A416:B416"/>
    <mergeCell ref="C416:D416"/>
    <mergeCell ref="A417:B417"/>
    <mergeCell ref="C417:D417"/>
    <mergeCell ref="A418:B418"/>
    <mergeCell ref="C418:D418"/>
    <mergeCell ref="E418:F420"/>
    <mergeCell ref="A419:B419"/>
    <mergeCell ref="C419:D419"/>
    <mergeCell ref="A420:B420"/>
    <mergeCell ref="C420:D420"/>
    <mergeCell ref="A421:B421"/>
    <mergeCell ref="C421:D421"/>
    <mergeCell ref="E421:F423"/>
    <mergeCell ref="A422:B422"/>
    <mergeCell ref="C422:D422"/>
    <mergeCell ref="A423:B423"/>
    <mergeCell ref="C423:D423"/>
    <mergeCell ref="A424:B424"/>
    <mergeCell ref="C424:D424"/>
    <mergeCell ref="E424:F426"/>
    <mergeCell ref="A425:B425"/>
    <mergeCell ref="C425:D425"/>
    <mergeCell ref="A426:B426"/>
    <mergeCell ref="C426:D426"/>
    <mergeCell ref="A427:B427"/>
    <mergeCell ref="C427:D427"/>
    <mergeCell ref="E427:F429"/>
    <mergeCell ref="A428:B428"/>
    <mergeCell ref="C428:D428"/>
    <mergeCell ref="A429:B429"/>
    <mergeCell ref="C429:D429"/>
    <mergeCell ref="A430:B430"/>
    <mergeCell ref="C430:D430"/>
    <mergeCell ref="E430:F432"/>
    <mergeCell ref="A431:B431"/>
    <mergeCell ref="C431:D431"/>
    <mergeCell ref="A432:B432"/>
    <mergeCell ref="C432:D432"/>
    <mergeCell ref="A433:B433"/>
    <mergeCell ref="C433:D433"/>
    <mergeCell ref="E433:F435"/>
    <mergeCell ref="A434:B434"/>
    <mergeCell ref="C434:D434"/>
    <mergeCell ref="A435:B435"/>
    <mergeCell ref="C435:D435"/>
    <mergeCell ref="A439:B439"/>
    <mergeCell ref="C439:D439"/>
    <mergeCell ref="E439:F441"/>
    <mergeCell ref="A440:B440"/>
    <mergeCell ref="C440:D440"/>
    <mergeCell ref="A441:B441"/>
    <mergeCell ref="C441:D441"/>
    <mergeCell ref="A442:B442"/>
    <mergeCell ref="C442:D442"/>
    <mergeCell ref="E442:F444"/>
    <mergeCell ref="A443:B443"/>
    <mergeCell ref="C443:D443"/>
    <mergeCell ref="A444:B444"/>
    <mergeCell ref="C444:D444"/>
    <mergeCell ref="A445:B445"/>
    <mergeCell ref="C445:D445"/>
    <mergeCell ref="E445:F447"/>
    <mergeCell ref="A446:B446"/>
    <mergeCell ref="C446:D446"/>
    <mergeCell ref="A447:B447"/>
    <mergeCell ref="C447:D447"/>
    <mergeCell ref="A448:B448"/>
    <mergeCell ref="C448:D448"/>
    <mergeCell ref="E448:F450"/>
    <mergeCell ref="A449:B449"/>
    <mergeCell ref="C449:D449"/>
    <mergeCell ref="A450:B450"/>
    <mergeCell ref="C450:D450"/>
    <mergeCell ref="A451:B451"/>
    <mergeCell ref="C451:D451"/>
    <mergeCell ref="E451:F453"/>
    <mergeCell ref="A452:B452"/>
    <mergeCell ref="C452:D452"/>
    <mergeCell ref="A453:B453"/>
    <mergeCell ref="C453:D453"/>
    <mergeCell ref="A454:B454"/>
    <mergeCell ref="C454:D454"/>
    <mergeCell ref="E454:F456"/>
    <mergeCell ref="A455:B455"/>
    <mergeCell ref="C455:D455"/>
    <mergeCell ref="A456:B456"/>
    <mergeCell ref="C456:D456"/>
    <mergeCell ref="A457:B457"/>
    <mergeCell ref="C457:D457"/>
    <mergeCell ref="E457:F459"/>
    <mergeCell ref="A458:B458"/>
    <mergeCell ref="C458:D458"/>
    <mergeCell ref="A459:B459"/>
    <mergeCell ref="C459:D459"/>
    <mergeCell ref="A460:B460"/>
    <mergeCell ref="C460:D460"/>
    <mergeCell ref="E460:F462"/>
    <mergeCell ref="A461:B461"/>
    <mergeCell ref="C461:D461"/>
    <mergeCell ref="A462:B462"/>
    <mergeCell ref="C462:D462"/>
    <mergeCell ref="A463:B463"/>
    <mergeCell ref="C463:D463"/>
    <mergeCell ref="E463:F465"/>
    <mergeCell ref="A464:B464"/>
    <mergeCell ref="C464:D464"/>
    <mergeCell ref="A465:B465"/>
    <mergeCell ref="C465:D465"/>
    <mergeCell ref="A466:B466"/>
    <mergeCell ref="C466:D466"/>
    <mergeCell ref="E466:F468"/>
    <mergeCell ref="A467:B467"/>
    <mergeCell ref="C467:D467"/>
    <mergeCell ref="A468:B468"/>
    <mergeCell ref="C468:D468"/>
    <mergeCell ref="A469:B469"/>
    <mergeCell ref="C469:D469"/>
    <mergeCell ref="E469:F471"/>
    <mergeCell ref="A470:B470"/>
    <mergeCell ref="C470:D470"/>
    <mergeCell ref="A471:B471"/>
    <mergeCell ref="C471:D471"/>
    <mergeCell ref="A472:B472"/>
    <mergeCell ref="C472:D472"/>
    <mergeCell ref="E472:F474"/>
    <mergeCell ref="A473:B473"/>
    <mergeCell ref="C473:D473"/>
    <mergeCell ref="A474:B474"/>
    <mergeCell ref="C474:D474"/>
    <mergeCell ref="A475:B475"/>
    <mergeCell ref="C475:D475"/>
    <mergeCell ref="E475:F477"/>
    <mergeCell ref="A476:B476"/>
    <mergeCell ref="C476:D476"/>
    <mergeCell ref="A477:B477"/>
    <mergeCell ref="C477:D477"/>
    <mergeCell ref="A478:B478"/>
    <mergeCell ref="C478:D478"/>
    <mergeCell ref="E478:F480"/>
    <mergeCell ref="A479:B479"/>
    <mergeCell ref="C479:D479"/>
    <mergeCell ref="A480:B480"/>
    <mergeCell ref="C480:D480"/>
    <mergeCell ref="A481:B481"/>
    <mergeCell ref="C481:D481"/>
    <mergeCell ref="E481:F483"/>
    <mergeCell ref="A482:B482"/>
    <mergeCell ref="C482:D482"/>
    <mergeCell ref="A483:B483"/>
    <mergeCell ref="C483:D483"/>
    <mergeCell ref="A484:B484"/>
    <mergeCell ref="C484:D484"/>
    <mergeCell ref="E484:F486"/>
    <mergeCell ref="A485:B485"/>
    <mergeCell ref="C485:D485"/>
    <mergeCell ref="A486:B486"/>
    <mergeCell ref="C486:D486"/>
    <mergeCell ref="A487:B487"/>
    <mergeCell ref="C487:D487"/>
    <mergeCell ref="E487:F489"/>
    <mergeCell ref="A488:B488"/>
    <mergeCell ref="C488:D488"/>
    <mergeCell ref="A489:B489"/>
    <mergeCell ref="C489:D489"/>
    <mergeCell ref="A490:B490"/>
    <mergeCell ref="C490:D490"/>
    <mergeCell ref="E490:F492"/>
    <mergeCell ref="A491:B491"/>
    <mergeCell ref="C491:D491"/>
    <mergeCell ref="A492:B492"/>
    <mergeCell ref="C492:D492"/>
    <mergeCell ref="A493:B493"/>
    <mergeCell ref="C493:D493"/>
    <mergeCell ref="E493:F495"/>
    <mergeCell ref="A494:B494"/>
    <mergeCell ref="C494:D494"/>
    <mergeCell ref="A495:B495"/>
    <mergeCell ref="C495:D495"/>
    <mergeCell ref="A496:B496"/>
    <mergeCell ref="C496:D496"/>
    <mergeCell ref="E496:F498"/>
    <mergeCell ref="A497:B497"/>
    <mergeCell ref="C497:D497"/>
    <mergeCell ref="A498:B498"/>
    <mergeCell ref="C498:D498"/>
    <mergeCell ref="A499:B499"/>
    <mergeCell ref="C499:D499"/>
    <mergeCell ref="E499:F501"/>
    <mergeCell ref="A500:B500"/>
    <mergeCell ref="C500:D500"/>
    <mergeCell ref="A501:B501"/>
    <mergeCell ref="C501:D501"/>
    <mergeCell ref="A502:B502"/>
    <mergeCell ref="C502:D502"/>
    <mergeCell ref="E502:F504"/>
    <mergeCell ref="A503:B503"/>
    <mergeCell ref="C503:D503"/>
    <mergeCell ref="A504:B504"/>
    <mergeCell ref="C504:D504"/>
    <mergeCell ref="A505:B505"/>
    <mergeCell ref="C505:D505"/>
    <mergeCell ref="E505:F507"/>
    <mergeCell ref="A506:B506"/>
    <mergeCell ref="C506:D506"/>
    <mergeCell ref="A507:B507"/>
    <mergeCell ref="C507:D507"/>
    <mergeCell ref="A508:B508"/>
    <mergeCell ref="C508:D508"/>
    <mergeCell ref="E508:F510"/>
    <mergeCell ref="A509:B509"/>
    <mergeCell ref="C509:D509"/>
    <mergeCell ref="A510:B510"/>
    <mergeCell ref="C510:D510"/>
    <mergeCell ref="A511:B511"/>
    <mergeCell ref="C511:D511"/>
    <mergeCell ref="E511:F513"/>
    <mergeCell ref="A512:B512"/>
    <mergeCell ref="C512:D512"/>
    <mergeCell ref="A513:B513"/>
    <mergeCell ref="C513:D513"/>
    <mergeCell ref="A514:B514"/>
    <mergeCell ref="C514:D514"/>
    <mergeCell ref="E514:F516"/>
    <mergeCell ref="A515:B515"/>
    <mergeCell ref="C515:D515"/>
    <mergeCell ref="A516:B516"/>
    <mergeCell ref="C516:D516"/>
    <mergeCell ref="A517:B517"/>
    <mergeCell ref="C517:D517"/>
    <mergeCell ref="E517:F519"/>
    <mergeCell ref="A518:B518"/>
    <mergeCell ref="C518:D518"/>
    <mergeCell ref="A519:B519"/>
    <mergeCell ref="C519:D519"/>
    <mergeCell ref="A520:B520"/>
    <mergeCell ref="C520:D520"/>
    <mergeCell ref="E520:F522"/>
    <mergeCell ref="A521:B521"/>
    <mergeCell ref="C521:D521"/>
    <mergeCell ref="A522:B522"/>
    <mergeCell ref="C522:D522"/>
    <mergeCell ref="A523:B523"/>
    <mergeCell ref="C523:D523"/>
    <mergeCell ref="E523:F525"/>
    <mergeCell ref="A524:B524"/>
    <mergeCell ref="C524:D524"/>
    <mergeCell ref="A525:B525"/>
    <mergeCell ref="C525:D525"/>
    <mergeCell ref="A526:B526"/>
    <mergeCell ref="C526:D526"/>
    <mergeCell ref="E526:F528"/>
    <mergeCell ref="A527:B527"/>
    <mergeCell ref="C527:D527"/>
    <mergeCell ref="A528:B528"/>
    <mergeCell ref="C528:D528"/>
    <mergeCell ref="A529:B529"/>
    <mergeCell ref="C529:D529"/>
    <mergeCell ref="E529:F531"/>
    <mergeCell ref="A530:B530"/>
    <mergeCell ref="C530:D530"/>
    <mergeCell ref="A531:B531"/>
    <mergeCell ref="C531:D531"/>
    <mergeCell ref="A532:B532"/>
    <mergeCell ref="C532:D532"/>
    <mergeCell ref="E532:F534"/>
    <mergeCell ref="A533:B533"/>
    <mergeCell ref="C533:D533"/>
    <mergeCell ref="A534:B534"/>
    <mergeCell ref="C534:D534"/>
    <mergeCell ref="A538:B538"/>
    <mergeCell ref="C538:D538"/>
    <mergeCell ref="E538:F540"/>
    <mergeCell ref="A539:B539"/>
    <mergeCell ref="C539:D539"/>
    <mergeCell ref="A540:B540"/>
    <mergeCell ref="C540:D540"/>
    <mergeCell ref="A535:B535"/>
    <mergeCell ref="C535:D535"/>
    <mergeCell ref="E535:F537"/>
    <mergeCell ref="A536:B536"/>
    <mergeCell ref="C536:D536"/>
    <mergeCell ref="A537:B537"/>
    <mergeCell ref="C537:D537"/>
    <mergeCell ref="A541:B541"/>
    <mergeCell ref="C541:D541"/>
    <mergeCell ref="E541:F543"/>
    <mergeCell ref="A542:B542"/>
    <mergeCell ref="C542:D542"/>
    <mergeCell ref="A543:B543"/>
    <mergeCell ref="C543:D543"/>
    <mergeCell ref="A544:B544"/>
    <mergeCell ref="C544:D544"/>
    <mergeCell ref="E544:F546"/>
    <mergeCell ref="A545:B545"/>
    <mergeCell ref="C545:D545"/>
    <mergeCell ref="A546:B546"/>
    <mergeCell ref="C546:D546"/>
    <mergeCell ref="A547:B547"/>
    <mergeCell ref="C547:D547"/>
    <mergeCell ref="E547:F549"/>
    <mergeCell ref="A548:B548"/>
    <mergeCell ref="C548:D548"/>
    <mergeCell ref="A549:B549"/>
    <mergeCell ref="C549:D549"/>
    <mergeCell ref="A550:B550"/>
    <mergeCell ref="C550:D550"/>
    <mergeCell ref="E550:F552"/>
    <mergeCell ref="A551:B551"/>
    <mergeCell ref="C551:D551"/>
    <mergeCell ref="A552:B552"/>
    <mergeCell ref="C552:D552"/>
    <mergeCell ref="A553:B553"/>
    <mergeCell ref="C553:D553"/>
    <mergeCell ref="E553:F555"/>
    <mergeCell ref="A554:B554"/>
    <mergeCell ref="C554:D554"/>
    <mergeCell ref="A555:B555"/>
    <mergeCell ref="C555:D555"/>
    <mergeCell ref="A559:B559"/>
    <mergeCell ref="C559:D559"/>
    <mergeCell ref="E559:F561"/>
    <mergeCell ref="A560:B560"/>
    <mergeCell ref="C560:D560"/>
    <mergeCell ref="A561:B561"/>
    <mergeCell ref="C561:D561"/>
    <mergeCell ref="A556:B556"/>
    <mergeCell ref="C556:D556"/>
    <mergeCell ref="E556:F558"/>
    <mergeCell ref="A557:B557"/>
    <mergeCell ref="C557:D557"/>
    <mergeCell ref="A558:B558"/>
    <mergeCell ref="C558:D558"/>
    <mergeCell ref="C567:D567"/>
    <mergeCell ref="A562:B562"/>
    <mergeCell ref="C562:D562"/>
    <mergeCell ref="E562:F564"/>
    <mergeCell ref="A563:B563"/>
    <mergeCell ref="C563:D563"/>
    <mergeCell ref="A564:B564"/>
    <mergeCell ref="C564:D564"/>
    <mergeCell ref="A574:B574"/>
    <mergeCell ref="C574:D574"/>
    <mergeCell ref="E574:F576"/>
    <mergeCell ref="A575:B575"/>
    <mergeCell ref="A565:B565"/>
    <mergeCell ref="C565:D565"/>
    <mergeCell ref="E565:F567"/>
    <mergeCell ref="A566:B566"/>
    <mergeCell ref="C566:D566"/>
    <mergeCell ref="A567:B567"/>
    <mergeCell ref="A571:B571"/>
    <mergeCell ref="C571:D571"/>
    <mergeCell ref="E571:F573"/>
    <mergeCell ref="A572:B572"/>
    <mergeCell ref="C572:D572"/>
    <mergeCell ref="A573:B573"/>
    <mergeCell ref="C573:D573"/>
    <mergeCell ref="A568:B568"/>
    <mergeCell ref="C568:D568"/>
    <mergeCell ref="E568:F570"/>
    <mergeCell ref="A569:B569"/>
    <mergeCell ref="C569:D569"/>
    <mergeCell ref="A570:B570"/>
    <mergeCell ref="C570:D570"/>
    <mergeCell ref="A580:B580"/>
    <mergeCell ref="C580:D580"/>
    <mergeCell ref="E580:F582"/>
    <mergeCell ref="A581:B581"/>
    <mergeCell ref="C581:D581"/>
    <mergeCell ref="A582:B582"/>
    <mergeCell ref="C582:D582"/>
    <mergeCell ref="A583:B583"/>
    <mergeCell ref="C583:D583"/>
    <mergeCell ref="E583:F585"/>
    <mergeCell ref="A584:B584"/>
    <mergeCell ref="C584:D584"/>
    <mergeCell ref="A585:B585"/>
    <mergeCell ref="C585:D585"/>
    <mergeCell ref="A586:B586"/>
    <mergeCell ref="C586:D586"/>
    <mergeCell ref="E586:F588"/>
    <mergeCell ref="A587:B587"/>
    <mergeCell ref="C587:D587"/>
    <mergeCell ref="A588:B588"/>
    <mergeCell ref="C588:D588"/>
    <mergeCell ref="A589:B589"/>
    <mergeCell ref="C589:D589"/>
    <mergeCell ref="E589:F591"/>
    <mergeCell ref="A590:B590"/>
    <mergeCell ref="C590:D590"/>
    <mergeCell ref="A591:B591"/>
    <mergeCell ref="C591:D591"/>
    <mergeCell ref="A592:B592"/>
    <mergeCell ref="C592:D592"/>
    <mergeCell ref="E592:F594"/>
    <mergeCell ref="A593:B593"/>
    <mergeCell ref="C593:D593"/>
    <mergeCell ref="A594:B594"/>
    <mergeCell ref="C594:D594"/>
    <mergeCell ref="A595:B595"/>
    <mergeCell ref="C595:D595"/>
    <mergeCell ref="E595:F597"/>
    <mergeCell ref="A596:B596"/>
    <mergeCell ref="C596:D596"/>
    <mergeCell ref="A597:B597"/>
    <mergeCell ref="C597:D597"/>
    <mergeCell ref="C651:D651"/>
    <mergeCell ref="A637:B637"/>
    <mergeCell ref="C637:D637"/>
    <mergeCell ref="E637:F639"/>
    <mergeCell ref="A638:B638"/>
    <mergeCell ref="C638:D638"/>
    <mergeCell ref="A639:B639"/>
    <mergeCell ref="C639:D639"/>
    <mergeCell ref="A640:B640"/>
    <mergeCell ref="C640:D640"/>
    <mergeCell ref="E640:F642"/>
    <mergeCell ref="A641:B641"/>
    <mergeCell ref="C641:D641"/>
    <mergeCell ref="A642:B642"/>
    <mergeCell ref="C642:D642"/>
    <mergeCell ref="C654:D654"/>
    <mergeCell ref="A643:B643"/>
    <mergeCell ref="C643:D643"/>
    <mergeCell ref="E643:F645"/>
    <mergeCell ref="A644:B644"/>
    <mergeCell ref="C644:D644"/>
    <mergeCell ref="A645:B645"/>
    <mergeCell ref="C645:D645"/>
    <mergeCell ref="C650:D650"/>
    <mergeCell ref="A651:B651"/>
    <mergeCell ref="A649:B649"/>
    <mergeCell ref="C649:D649"/>
    <mergeCell ref="E649:F651"/>
    <mergeCell ref="A650:B650"/>
    <mergeCell ref="C652:D652"/>
    <mergeCell ref="E652:F654"/>
    <mergeCell ref="A653:B653"/>
    <mergeCell ref="C653:D653"/>
    <mergeCell ref="A654:B654"/>
    <mergeCell ref="A661:B661"/>
    <mergeCell ref="C661:D661"/>
    <mergeCell ref="E661:F663"/>
    <mergeCell ref="A662:B662"/>
    <mergeCell ref="C662:D662"/>
    <mergeCell ref="A663:B663"/>
    <mergeCell ref="C663:D663"/>
    <mergeCell ref="A655:B655"/>
    <mergeCell ref="C655:D655"/>
    <mergeCell ref="E655:F657"/>
    <mergeCell ref="A656:B656"/>
    <mergeCell ref="C656:D656"/>
    <mergeCell ref="A657:B657"/>
    <mergeCell ref="C657:D657"/>
    <mergeCell ref="A664:B664"/>
    <mergeCell ref="C664:D664"/>
    <mergeCell ref="E664:F666"/>
    <mergeCell ref="A665:B665"/>
    <mergeCell ref="C665:D665"/>
    <mergeCell ref="A666:B666"/>
    <mergeCell ref="C666:D666"/>
    <mergeCell ref="C659:D659"/>
    <mergeCell ref="A660:B660"/>
    <mergeCell ref="C660:D660"/>
    <mergeCell ref="A658:B658"/>
    <mergeCell ref="C658:D658"/>
    <mergeCell ref="E658:F660"/>
    <mergeCell ref="A659:B659"/>
    <mergeCell ref="A667:B667"/>
    <mergeCell ref="C667:D667"/>
    <mergeCell ref="E667:F669"/>
    <mergeCell ref="A668:B668"/>
    <mergeCell ref="C668:D668"/>
    <mergeCell ref="A669:B669"/>
    <mergeCell ref="C669:D669"/>
    <mergeCell ref="A670:B670"/>
    <mergeCell ref="C670:D670"/>
    <mergeCell ref="E670:F672"/>
    <mergeCell ref="A671:B671"/>
    <mergeCell ref="C671:D671"/>
    <mergeCell ref="A672:B672"/>
    <mergeCell ref="C672:D672"/>
    <mergeCell ref="A673:B673"/>
    <mergeCell ref="C673:D673"/>
    <mergeCell ref="E673:F675"/>
    <mergeCell ref="A674:B674"/>
    <mergeCell ref="C674:D674"/>
    <mergeCell ref="A675:B675"/>
    <mergeCell ref="C675:D675"/>
    <mergeCell ref="A676:B676"/>
    <mergeCell ref="C676:D676"/>
    <mergeCell ref="E676:F678"/>
    <mergeCell ref="A677:B677"/>
    <mergeCell ref="C677:D677"/>
    <mergeCell ref="A678:B678"/>
    <mergeCell ref="C678:D678"/>
    <mergeCell ref="A679:B679"/>
    <mergeCell ref="C679:D679"/>
    <mergeCell ref="E679:F681"/>
    <mergeCell ref="A680:B680"/>
    <mergeCell ref="C680:D680"/>
    <mergeCell ref="A681:B681"/>
    <mergeCell ref="C681:D681"/>
    <mergeCell ref="A682:B682"/>
    <mergeCell ref="C682:D682"/>
    <mergeCell ref="E682:F684"/>
    <mergeCell ref="A683:B683"/>
    <mergeCell ref="C683:D683"/>
    <mergeCell ref="A684:B684"/>
    <mergeCell ref="C684:D684"/>
    <mergeCell ref="A685:B685"/>
    <mergeCell ref="C685:D685"/>
    <mergeCell ref="E685:F687"/>
    <mergeCell ref="A686:B686"/>
    <mergeCell ref="C686:D686"/>
    <mergeCell ref="A687:B687"/>
    <mergeCell ref="C687:D687"/>
    <mergeCell ref="A688:B688"/>
    <mergeCell ref="C688:D688"/>
    <mergeCell ref="E688:F690"/>
    <mergeCell ref="A689:B689"/>
    <mergeCell ref="C689:D689"/>
    <mergeCell ref="A690:B690"/>
    <mergeCell ref="C690:D690"/>
    <mergeCell ref="A691:B691"/>
    <mergeCell ref="C691:D691"/>
    <mergeCell ref="E691:F693"/>
    <mergeCell ref="A692:B692"/>
    <mergeCell ref="C692:D692"/>
    <mergeCell ref="A693:B693"/>
    <mergeCell ref="C693:D693"/>
    <mergeCell ref="A694:B694"/>
    <mergeCell ref="C694:D694"/>
    <mergeCell ref="E694:F696"/>
    <mergeCell ref="A695:B695"/>
    <mergeCell ref="C695:D695"/>
    <mergeCell ref="A696:B696"/>
    <mergeCell ref="C696:D696"/>
    <mergeCell ref="A697:B697"/>
    <mergeCell ref="C697:D697"/>
    <mergeCell ref="E697:F699"/>
    <mergeCell ref="A698:B698"/>
    <mergeCell ref="C698:D698"/>
    <mergeCell ref="A699:B699"/>
    <mergeCell ref="C699:D699"/>
    <mergeCell ref="A701:F703"/>
    <mergeCell ref="A436:B436"/>
    <mergeCell ref="C436:D436"/>
    <mergeCell ref="E436:F438"/>
    <mergeCell ref="A437:B437"/>
    <mergeCell ref="C437:D437"/>
    <mergeCell ref="A438:B438"/>
    <mergeCell ref="C438:D438"/>
    <mergeCell ref="A625:B625"/>
    <mergeCell ref="C625:D625"/>
    <mergeCell ref="E625:F627"/>
    <mergeCell ref="A626:B626"/>
    <mergeCell ref="C626:D626"/>
    <mergeCell ref="A627:B627"/>
    <mergeCell ref="C627:D627"/>
    <mergeCell ref="A598:B598"/>
    <mergeCell ref="C598:D598"/>
    <mergeCell ref="E598:F600"/>
    <mergeCell ref="A633:B633"/>
    <mergeCell ref="C633:D633"/>
    <mergeCell ref="A577:B577"/>
    <mergeCell ref="C577:D577"/>
    <mergeCell ref="E577:F579"/>
    <mergeCell ref="A578:B578"/>
    <mergeCell ref="C578:D578"/>
    <mergeCell ref="A579:B579"/>
    <mergeCell ref="C579:D579"/>
    <mergeCell ref="A611:B611"/>
    <mergeCell ref="C611:D611"/>
    <mergeCell ref="A612:B612"/>
    <mergeCell ref="C612:D612"/>
    <mergeCell ref="A601:B601"/>
    <mergeCell ref="C601:D601"/>
    <mergeCell ref="E601:F603"/>
    <mergeCell ref="A602:B602"/>
    <mergeCell ref="C602:D602"/>
    <mergeCell ref="A603:B603"/>
    <mergeCell ref="C603:D603"/>
    <mergeCell ref="A616:B616"/>
    <mergeCell ref="C616:D616"/>
    <mergeCell ref="C609:D609"/>
    <mergeCell ref="A604:B604"/>
    <mergeCell ref="C604:D604"/>
    <mergeCell ref="E604:F606"/>
    <mergeCell ref="A605:B605"/>
    <mergeCell ref="C605:D605"/>
    <mergeCell ref="A606:B606"/>
    <mergeCell ref="C606:D606"/>
    <mergeCell ref="A628:B628"/>
    <mergeCell ref="C628:D628"/>
    <mergeCell ref="C610:D610"/>
    <mergeCell ref="E610:F612"/>
    <mergeCell ref="A599:B599"/>
    <mergeCell ref="C599:D599"/>
    <mergeCell ref="E628:F630"/>
    <mergeCell ref="A629:B629"/>
    <mergeCell ref="A607:B607"/>
    <mergeCell ref="C607:D607"/>
    <mergeCell ref="E607:F609"/>
    <mergeCell ref="A608:B608"/>
    <mergeCell ref="C608:D608"/>
    <mergeCell ref="A609:B609"/>
    <mergeCell ref="A619:B619"/>
    <mergeCell ref="C619:D619"/>
    <mergeCell ref="E619:F621"/>
    <mergeCell ref="E616:F618"/>
    <mergeCell ref="A617:B617"/>
    <mergeCell ref="C617:D617"/>
    <mergeCell ref="A618:B618"/>
    <mergeCell ref="C618:D618"/>
    <mergeCell ref="A610:B610"/>
    <mergeCell ref="A620:B620"/>
    <mergeCell ref="C620:D620"/>
    <mergeCell ref="A621:B621"/>
    <mergeCell ref="C621:D621"/>
    <mergeCell ref="A622:B622"/>
    <mergeCell ref="C622:D622"/>
    <mergeCell ref="E622:F624"/>
    <mergeCell ref="A623:B623"/>
    <mergeCell ref="C623:D623"/>
    <mergeCell ref="A624:B624"/>
    <mergeCell ref="C624:D624"/>
    <mergeCell ref="A652:B652"/>
    <mergeCell ref="E646:F648"/>
    <mergeCell ref="A647:B647"/>
    <mergeCell ref="C647:D647"/>
    <mergeCell ref="A648:B648"/>
    <mergeCell ref="C648:D648"/>
    <mergeCell ref="A600:B600"/>
    <mergeCell ref="C600:D600"/>
    <mergeCell ref="C634:D634"/>
    <mergeCell ref="E634:F636"/>
    <mergeCell ref="A635:B635"/>
    <mergeCell ref="A634:B634"/>
    <mergeCell ref="A646:B646"/>
    <mergeCell ref="C646:D646"/>
    <mergeCell ref="C635:D635"/>
    <mergeCell ref="A636:B636"/>
    <mergeCell ref="C636:D636"/>
    <mergeCell ref="A631:B631"/>
    <mergeCell ref="C631:D631"/>
    <mergeCell ref="E631:F633"/>
    <mergeCell ref="A632:B632"/>
    <mergeCell ref="C632:D632"/>
    <mergeCell ref="A613:B613"/>
    <mergeCell ref="C613:D613"/>
    <mergeCell ref="E613:F615"/>
    <mergeCell ref="A614:B614"/>
    <mergeCell ref="C614:D614"/>
    <mergeCell ref="A615:B615"/>
    <mergeCell ref="C615:D615"/>
    <mergeCell ref="C629:D629"/>
    <mergeCell ref="A630:B630"/>
    <mergeCell ref="C630:D630"/>
  </mergeCells>
  <printOptions horizontalCentered="1"/>
  <pageMargins left="0.59055118110236227" right="0.59055118110236227" top="0.98425196850393704" bottom="0.7480314960629921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16</vt:i4>
      </vt:variant>
    </vt:vector>
  </HeadingPairs>
  <TitlesOfParts>
    <vt:vector size="27" baseType="lpstr">
      <vt:lpstr>zał.1</vt:lpstr>
      <vt:lpstr>zał.2</vt:lpstr>
      <vt:lpstr>zał.3</vt:lpstr>
      <vt:lpstr>zał.4</vt:lpstr>
      <vt:lpstr>zał.5</vt:lpstr>
      <vt:lpstr>zał.6 </vt:lpstr>
      <vt:lpstr>zał.7</vt:lpstr>
      <vt:lpstr>zał.8 </vt:lpstr>
      <vt:lpstr>zał.9</vt:lpstr>
      <vt:lpstr>zał.10</vt:lpstr>
      <vt:lpstr>zał.11</vt:lpstr>
      <vt:lpstr>zał.1!Obszar_wydruku</vt:lpstr>
      <vt:lpstr>zał.10!Obszar_wydruku</vt:lpstr>
      <vt:lpstr>zał.11!Obszar_wydruku</vt:lpstr>
      <vt:lpstr>zał.2!Obszar_wydruku</vt:lpstr>
      <vt:lpstr>'zał.6 '!Obszar_wydruku</vt:lpstr>
      <vt:lpstr>zał.7!Obszar_wydruku</vt:lpstr>
      <vt:lpstr>zał.1!Tytuły_wydruku</vt:lpstr>
      <vt:lpstr>zał.10!Tytuły_wydruku</vt:lpstr>
      <vt:lpstr>zał.11!Tytuły_wydruku</vt:lpstr>
      <vt:lpstr>zał.2!Tytuły_wydruku</vt:lpstr>
      <vt:lpstr>zał.3!Tytuły_wydruku</vt:lpstr>
      <vt:lpstr>zał.4!Tytuły_wydruku</vt:lpstr>
      <vt:lpstr>'zał.6 '!Tytuły_wydruku</vt:lpstr>
      <vt:lpstr>zał.7!Tytuły_wydruku</vt:lpstr>
      <vt:lpstr>'zał.8 '!Tytuły_wydruku</vt:lpstr>
      <vt:lpstr>zał.9!Tytuły_wydruku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Anna Sobierajska</cp:lastModifiedBy>
  <cp:lastPrinted>2021-04-21T07:36:24Z</cp:lastPrinted>
  <dcterms:created xsi:type="dcterms:W3CDTF">2010-11-02T12:16:55Z</dcterms:created>
  <dcterms:modified xsi:type="dcterms:W3CDTF">2021-04-21T09:48:05Z</dcterms:modified>
</cp:coreProperties>
</file>